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ceaoorg.sharepoint.com/Shared Documents/D/Andrew Kelly/CSTP Program/FY'31/"/>
    </mc:Choice>
  </mc:AlternateContent>
  <xr:revisionPtr revIDLastSave="6" documentId="8_{DD93BA55-D77B-4985-8DDC-23E78DF414E8}" xr6:coauthVersionLast="47" xr6:coauthVersionMax="47" xr10:uidLastSave="{4A240351-B1AF-49CC-8C3F-0659BCB094B5}"/>
  <bookViews>
    <workbookView xWindow="-120" yWindow="-120" windowWidth="29040" windowHeight="15720" xr2:uid="{9C2187A8-35F4-41E1-9C17-5C5F2F455F41}"/>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1" l="1"/>
  <c r="G26" i="1"/>
  <c r="G29" i="1"/>
  <c r="I29" i="1" s="1"/>
  <c r="G28" i="1"/>
  <c r="I28" i="1" s="1"/>
  <c r="G8" i="1"/>
  <c r="G38" i="1"/>
  <c r="G40" i="1"/>
  <c r="G39" i="1"/>
  <c r="I5" i="1"/>
  <c r="I4" i="1"/>
  <c r="I11" i="1"/>
  <c r="I13" i="1"/>
  <c r="I35" i="1"/>
  <c r="G9" i="1"/>
  <c r="G7" i="1"/>
  <c r="G15" i="1"/>
  <c r="G19" i="1"/>
  <c r="H22" i="1"/>
  <c r="H6" i="1"/>
  <c r="H3" i="1"/>
  <c r="G14" i="1"/>
  <c r="I14" i="1" s="1"/>
  <c r="G23" i="1"/>
  <c r="G17" i="1"/>
  <c r="I17" i="1" s="1"/>
  <c r="G27" i="1"/>
  <c r="G41" i="1"/>
  <c r="G16" i="1"/>
  <c r="G18" i="1"/>
  <c r="H18" i="1" s="1"/>
  <c r="G10" i="1"/>
  <c r="G37" i="1"/>
  <c r="G20" i="1"/>
  <c r="H20" i="1" s="1"/>
  <c r="G25" i="1"/>
  <c r="G21" i="1"/>
  <c r="G34" i="1"/>
  <c r="G33" i="1"/>
  <c r="G32" i="1"/>
  <c r="G31" i="1"/>
  <c r="H31" i="1" s="1"/>
  <c r="G30" i="1"/>
  <c r="G24" i="1"/>
  <c r="G43" i="1"/>
  <c r="H10" i="1" l="1"/>
  <c r="I10" i="1"/>
  <c r="J10" i="1" s="1"/>
  <c r="J6" i="1"/>
  <c r="I31" i="1"/>
  <c r="J31" i="1" s="1"/>
  <c r="G45" i="1"/>
  <c r="I40" i="1"/>
  <c r="J40" i="1" s="1"/>
  <c r="H40" i="1"/>
  <c r="I39" i="1"/>
  <c r="J39" i="1" s="1"/>
  <c r="H39" i="1"/>
  <c r="I9" i="1"/>
  <c r="J9" i="1" s="1"/>
  <c r="H9" i="1"/>
  <c r="I7" i="1"/>
  <c r="H7" i="1"/>
  <c r="I15" i="1"/>
  <c r="H15" i="1"/>
  <c r="I19" i="1"/>
  <c r="J19" i="1" s="1"/>
  <c r="H19" i="1"/>
  <c r="I22" i="1"/>
  <c r="J22" i="1" s="1"/>
  <c r="I3" i="1"/>
  <c r="J3" i="1" s="1"/>
  <c r="K3" i="1"/>
  <c r="I18" i="1"/>
  <c r="J18" i="1" s="1"/>
  <c r="I26" i="1"/>
  <c r="J26" i="1" s="1"/>
  <c r="H26" i="1"/>
  <c r="I8" i="1"/>
  <c r="H8" i="1"/>
  <c r="I38" i="1"/>
  <c r="J38" i="1" s="1"/>
  <c r="H38" i="1"/>
  <c r="H24" i="1"/>
  <c r="I24" i="1"/>
  <c r="H27" i="1"/>
  <c r="I27" i="1"/>
  <c r="J27" i="1" s="1"/>
  <c r="I34" i="1"/>
  <c r="H34" i="1"/>
  <c r="I33" i="1"/>
  <c r="J33" i="1" s="1"/>
  <c r="H33" i="1"/>
  <c r="I32" i="1"/>
  <c r="J32" i="1" s="1"/>
  <c r="H32" i="1"/>
  <c r="I30" i="1"/>
  <c r="J30" i="1" s="1"/>
  <c r="H30" i="1"/>
  <c r="I23" i="1"/>
  <c r="J23" i="1" s="1"/>
  <c r="H23" i="1"/>
  <c r="H41" i="1"/>
  <c r="I41" i="1"/>
  <c r="J41" i="1" s="1"/>
  <c r="I16" i="1"/>
  <c r="H16" i="1"/>
  <c r="H37" i="1"/>
  <c r="I37" i="1"/>
  <c r="J37" i="1" s="1"/>
  <c r="I25" i="1"/>
  <c r="H25" i="1"/>
  <c r="K4" i="1" l="1"/>
  <c r="K5" i="1" s="1"/>
  <c r="K6" i="1" s="1"/>
  <c r="K7" i="1" s="1"/>
  <c r="K8" i="1" s="1"/>
  <c r="K9" i="1" s="1"/>
  <c r="K10" i="1" s="1"/>
  <c r="K11" i="1" s="1"/>
  <c r="K13" i="1" s="1"/>
  <c r="K14" i="1" s="1"/>
  <c r="K15" i="1" s="1"/>
  <c r="K16" i="1" s="1"/>
  <c r="K17" i="1" s="1"/>
  <c r="K18" i="1" s="1"/>
  <c r="K19" i="1" s="1"/>
  <c r="K20" i="1" s="1"/>
  <c r="K21" i="1" s="1"/>
  <c r="K22" i="1" s="1"/>
  <c r="K23" i="1" s="1"/>
  <c r="K24" i="1" s="1"/>
  <c r="K25" i="1" s="1"/>
  <c r="K26" i="1" s="1"/>
  <c r="K27" i="1" s="1"/>
  <c r="K28" i="1" s="1"/>
  <c r="K29" i="1" s="1"/>
  <c r="K30" i="1" s="1"/>
  <c r="K31" i="1" s="1"/>
  <c r="K32" i="1" s="1"/>
  <c r="K33" i="1" s="1"/>
  <c r="K34" i="1" s="1"/>
  <c r="K35" i="1" s="1"/>
  <c r="K36" i="1" s="1"/>
  <c r="K37" i="1" s="1"/>
  <c r="K38" i="1" s="1"/>
  <c r="K39" i="1" s="1"/>
  <c r="K40" i="1" s="1"/>
  <c r="K41" i="1" s="1"/>
  <c r="K42" i="1" s="1"/>
  <c r="K43" i="1" s="1"/>
  <c r="K45" i="1" l="1"/>
</calcChain>
</file>

<file path=xl/sharedStrings.xml><?xml version="1.0" encoding="utf-8"?>
<sst xmlns="http://schemas.openxmlformats.org/spreadsheetml/2006/main" count="177" uniqueCount="111">
  <si>
    <t>Approved FY</t>
  </si>
  <si>
    <t>Comments</t>
  </si>
  <si>
    <t>Functional Class</t>
  </si>
  <si>
    <t>Cumulative CSTP</t>
  </si>
  <si>
    <t>Federal Max</t>
  </si>
  <si>
    <t>Max Cost Approved</t>
  </si>
  <si>
    <t>CSTP Estimate (80%)</t>
  </si>
  <si>
    <t>Cost Estimate</t>
  </si>
  <si>
    <t>% CE</t>
  </si>
  <si>
    <t>CSTP Funding Priority</t>
  </si>
  <si>
    <t>Application Priority</t>
  </si>
  <si>
    <t>Local Let</t>
  </si>
  <si>
    <t>County-Route-Section</t>
  </si>
  <si>
    <t>PD*0.8</t>
  </si>
  <si>
    <t>Procedue Doc</t>
  </si>
  <si>
    <t>Estimate Inflated to FY 2031</t>
  </si>
  <si>
    <t>ADA-CR 100/400-0.00</t>
  </si>
  <si>
    <t>Local</t>
  </si>
  <si>
    <t>(=CE*1.03^5)</t>
  </si>
  <si>
    <t>Major Collector</t>
  </si>
  <si>
    <t>Resurfacing CR100 and CR400, work scope includes full depth pavement repairs, illing of existing asphalt, 1" of Item 441 Asphaly Intermediate Court and 1" of Item 441 Asphalt Surface Course, stone berm, and thermoplastic PM.</t>
  </si>
  <si>
    <t>ASD-CR VAR PM-FY'31</t>
  </si>
  <si>
    <t>Major Collector
Minor (19.2%)
Local Rural
Minor Artery 
Collector Urban</t>
  </si>
  <si>
    <t>Applying PM using Type 1 water-based traffic paint with glass beads compliant with ODOT and OMUTCD specs along all CR's in Ashland County to include 281 Centerline miles of centerlines, 69.5 cm of edge lines and channelizing, 20 RR crossings, 36 school markings, and 4 lane arrows</t>
  </si>
  <si>
    <t>DEF-CR 17/27/185/53/107/17/171</t>
  </si>
  <si>
    <t>Major Collector
Minor (50%)</t>
  </si>
  <si>
    <t>Major Collectors getting paved at 24' wide. Minors getting paved at 22'-24' wide.</t>
  </si>
  <si>
    <t>FAY-CR 68/141</t>
  </si>
  <si>
    <t>Requesting a Speed Study. Referring to decline for upcoming Safety Study program</t>
  </si>
  <si>
    <t>CSTP Applications - FY'31</t>
  </si>
  <si>
    <t>FUL-CR J-8.15</t>
  </si>
  <si>
    <t>Widen at the curves, deep repairs, pavement planning, resurface with 1.5" intermediate course and 1.25" surface course from SR109 to SR19)</t>
  </si>
  <si>
    <t>GAL-CR 170/77/60/44/59</t>
  </si>
  <si>
    <t>Major Collector
Minor (73.2%)</t>
  </si>
  <si>
    <t>Rehabilitation of VAR county roads. Consisting of milling, berming, and resurfacing.</t>
  </si>
  <si>
    <t>HAN-CR 99/CR 12</t>
  </si>
  <si>
    <t>Urban Minor
Major Collector</t>
  </si>
  <si>
    <t>Mill and resurface 2.90 miles of 4-lane roadway along with repair of curb and curb inlets</t>
  </si>
  <si>
    <t>HAR-CR 106/115/144</t>
  </si>
  <si>
    <t>Minor Collector</t>
  </si>
  <si>
    <t>Resurface the roads by applying tack coat by 1.5" of Type 1 asphalt concrete and berm stone including signage, pavement striping, traffic control and mobilization</t>
  </si>
  <si>
    <t>HAS-CR 4/13/25/41/80</t>
  </si>
  <si>
    <t>Major Collector
Minor (5%)</t>
  </si>
  <si>
    <t>Resurfacing various county roads with a leveling course and a surface course, centerline striping and shoulder treatment as necessary.</t>
  </si>
  <si>
    <t>BEL-CR 4/14/214</t>
  </si>
  <si>
    <t>ODOT</t>
  </si>
  <si>
    <t>Resurfacing of VAR CR's with hot mix asphalt and pavement markings</t>
  </si>
  <si>
    <t>CHA-CR 10/95/236/182/183/97</t>
  </si>
  <si>
    <t>Major Collector
Minor (70%)</t>
  </si>
  <si>
    <t>Overlaying of surface of asphaltic concrete on 8.56 miles of CR's</t>
  </si>
  <si>
    <t>FAI-CR 39-1.396</t>
  </si>
  <si>
    <t>Resurface Lithopolis Rd (CR 39) from the Village of Lithopolis to Collins Rd in the City of Lancaster</t>
  </si>
  <si>
    <t>HIG-CR 11/20/27/39</t>
  </si>
  <si>
    <t>The resurfacing of 16.374 miles of CR's. The treatment for these routes shall be Item 254 Pavement Planning on all the routes, a total of 230,642 square yards and then paving using 1.50" Item 441 Asphalt Concrete Surface Course, Type 1 (449) PG64-22. Item 648 Spray Thermoplastic Pavement Markings are to be used throughout the entirety of the project.</t>
  </si>
  <si>
    <t>HOC-CR 3/82/249</t>
  </si>
  <si>
    <t>Resurfacing roads with 1.5' asphalt surface course and restripe</t>
  </si>
  <si>
    <t>HUR-CR 139/12</t>
  </si>
  <si>
    <t>Resurfacing and updates to guardrail, paint markings and signage</t>
  </si>
  <si>
    <t>JAC-CR 76-0.00</t>
  </si>
  <si>
    <t>Hot mix maving</t>
  </si>
  <si>
    <t>KNO-CR 6-6.97</t>
  </si>
  <si>
    <t>Class 5</t>
  </si>
  <si>
    <t>Resurfacing work will consist of a 1.5" mill and 2.5" fill, with tack, 441-Type 1 asphalt, spray thermoplastic pavement marking and berm gravel.</t>
  </si>
  <si>
    <t>LOG-CR 1/153/154</t>
  </si>
  <si>
    <t>Resurfacing of Major Collector Roads due to age and condition</t>
  </si>
  <si>
    <t>LOR-CR 51-3.90</t>
  </si>
  <si>
    <t>Repair and resurfacing of CR 51. Pavement planning, base repair, 1-3/4" intermediate course and 1-1/4" surface course.</t>
  </si>
  <si>
    <t>MER-CR 170/81</t>
  </si>
  <si>
    <t>Resurface of asphaltic concrete. Milling on portions of the above footprint of roads, berming and associated construction activities.</t>
  </si>
  <si>
    <t>MIA-CR 25A-9.156</t>
  </si>
  <si>
    <t>Arterial</t>
  </si>
  <si>
    <t>Resurface with a total of 1.5" of Item 441 (448), raised pavement markers, asphalt milling of bridges and butt joints, ad new pavement markings. No change in lane width.</t>
  </si>
  <si>
    <t>MOE-CR 12-2.073</t>
  </si>
  <si>
    <t>Base repairs/improvements and resurfacing of CR 12</t>
  </si>
  <si>
    <t>NOB-CR 2-10.079</t>
  </si>
  <si>
    <t>Linear grading, 3" asphalt base course 301 APP, 2.5" asphalt (449) type 2 intermediate course, 1" asphalt (449) type 1 surface course, primed aggregate berm, striping, and ancillary work necessary to improve and safely accommodate present and future anticipated public usage</t>
  </si>
  <si>
    <t>NOB-CR 2-7.46</t>
  </si>
  <si>
    <t>Linear grading, 3" asphalt base course 301 APP, 2.5" asphalt (449) type 2 intermediate course, 1" asphalt (449) type 1 surface course, primed aggregate berm, striping, and ancillary work necessary to improve and safely accommodate present and future antic</t>
  </si>
  <si>
    <t>NOB-CR 2-4.887</t>
  </si>
  <si>
    <t>NOB-CR 18-0.00</t>
  </si>
  <si>
    <t>NOB-CR 76-0.00</t>
  </si>
  <si>
    <t>PER-CR 6-0.00</t>
  </si>
  <si>
    <t>2" asphalt overlay with striping, berm, and pavement repair</t>
  </si>
  <si>
    <t>RIC-CR 303/375/378/139</t>
  </si>
  <si>
    <t>Major Collector
Minor (22%)</t>
  </si>
  <si>
    <t>Mill, repair, and resurface VAR CR's with a minimum of 2" MHA. Applying new PM as necessary.</t>
  </si>
  <si>
    <t>ROS-CR 207-0.00</t>
  </si>
  <si>
    <t>Resurfacing with Item 441 Asphalt Concrete including pavement planning on bridge decks and at intersections. Placing compge aggregate shoulder and using spray-on thermoplastic for all PM's. Roadway signage to be installed by CE.</t>
  </si>
  <si>
    <t>SAN-CR 41-0.00</t>
  </si>
  <si>
    <t>Resurfacing CR 41 including pavement planning, shoulder improvements, paint striping, and RPM's.</t>
  </si>
  <si>
    <t>SCI-CR 228/549/38/50/250/28/377</t>
  </si>
  <si>
    <t>Paving variable thickness of ODOT 441 Asphalt Concrete Surface Course furnished in place on the roads. Work includes pavement markings, milling and adjusting manholes, water valves, and catch basin inlets to grade, and shoulder prep and reconditioning.</t>
  </si>
  <si>
    <t>SEN-CR 591/38</t>
  </si>
  <si>
    <t>Mill 1.5" surface and pave 2" intermediate with a 1/2" scratch course in areas as necessary</t>
  </si>
  <si>
    <t>SUM-CR 2-0.70</t>
  </si>
  <si>
    <t>SUM-CR 207-0.87</t>
  </si>
  <si>
    <t>Replacing CR 2, including slab-top culvert at 14' with out-to-out width at 38' and a 30 degree skew. (SFN 7747241)</t>
  </si>
  <si>
    <t>Replacing CR 207, including slab-top culvert at 17' with out-to-out width at 34' and 0 degree skew. (SFN 7735189)</t>
  </si>
  <si>
    <t>SUM-CR 215-3.06</t>
  </si>
  <si>
    <t>Local Urban</t>
  </si>
  <si>
    <t>Replacing CR 215, including slab-top culvert 15.3' with out-to-out width at 34' and 34 degree skew. (SFN 7738102)</t>
  </si>
  <si>
    <t>UNI-Middleburg-Plain City Rd</t>
  </si>
  <si>
    <t>Resurfacing approx. 8.35 miles of Middleburg-Plain City Rd with pavement planing (1.5") of the existing roadway surface and resurfacing ~1" and surface ~1.25" courses of asphalt. ODOT 642 PM's (centerline, edge line, stop line, temporary WZ C/L) will be included following the asphalt placement.</t>
  </si>
  <si>
    <t>VAN-CR 124/382/185</t>
  </si>
  <si>
    <t>2" of asphalt overlay on the VAR CR's</t>
  </si>
  <si>
    <t>WAY-CR 86-2.860</t>
  </si>
  <si>
    <t>Rehabilitation owith full width pavement planing with partial depth pavement repairs and edge widening. Surface overlay of 2.5" asphalt concrete. Aggregate berm and pavement installation.</t>
  </si>
  <si>
    <t>CSTP TOTAL</t>
  </si>
  <si>
    <t>TOTAL NEED</t>
  </si>
  <si>
    <t>All Projects Above This Line Approved for Funding</t>
  </si>
  <si>
    <t xml:space="preserve">CEAO Program Manager Notes:
33 Counties Applied
Total County Need - $79,203,868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</si>
</sst>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3" x14ac:knownFonts="1">
    <font>
      <sz val="11"/>
      <color theme="1"/>
      <name val="Calibri"/>
      <family val="2"/>
      <scheme val="minor"/>
    </font>
    <font>
      <b/>
      <sz val="10"/>
      <name val="Arial"/>
      <family val="2"/>
    </font>
    <font>
      <b/>
      <sz val="11"/>
      <color theme="1"/>
      <name val="Calibri"/>
      <family val="2"/>
      <scheme val="minor"/>
    </font>
  </fonts>
  <fills count="3">
    <fill>
      <patternFill patternType="none"/>
    </fill>
    <fill>
      <patternFill patternType="gray125"/>
    </fill>
    <fill>
      <patternFill patternType="solid">
        <fgColor theme="4"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0" borderId="1" xfId="0" applyFont="1" applyBorder="1" applyAlignment="1">
      <alignment horizontal="center" wrapText="1"/>
    </xf>
    <xf numFmtId="164" fontId="1" fillId="0" borderId="1" xfId="0" applyNumberFormat="1" applyFont="1" applyBorder="1" applyAlignment="1">
      <alignment horizontal="center" wrapText="1"/>
    </xf>
    <xf numFmtId="0" fontId="0" fillId="0" borderId="0" xfId="0" applyAlignment="1">
      <alignment wrapText="1"/>
    </xf>
    <xf numFmtId="164" fontId="0" fillId="0" borderId="0" xfId="0" applyNumberFormat="1" applyAlignment="1">
      <alignment wrapText="1"/>
    </xf>
    <xf numFmtId="164" fontId="0" fillId="0" borderId="0" xfId="0" applyNumberFormat="1"/>
    <xf numFmtId="0" fontId="0" fillId="0" borderId="1" xfId="0" applyBorder="1"/>
    <xf numFmtId="0" fontId="0" fillId="0" borderId="1" xfId="0" applyBorder="1" applyAlignment="1">
      <alignment wrapText="1"/>
    </xf>
    <xf numFmtId="164" fontId="0" fillId="0" borderId="1" xfId="0" applyNumberFormat="1" applyBorder="1"/>
    <xf numFmtId="0" fontId="2" fillId="0" borderId="2" xfId="0" applyFont="1" applyBorder="1"/>
    <xf numFmtId="0" fontId="0" fillId="0" borderId="2" xfId="0" applyBorder="1"/>
    <xf numFmtId="164" fontId="0" fillId="0" borderId="2" xfId="0" applyNumberFormat="1" applyBorder="1"/>
    <xf numFmtId="164" fontId="0" fillId="0" borderId="6" xfId="0" applyNumberFormat="1" applyBorder="1"/>
    <xf numFmtId="0" fontId="0" fillId="0" borderId="1" xfId="0" applyBorder="1" applyAlignment="1">
      <alignmen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2" borderId="7" xfId="0" applyFont="1" applyFill="1" applyBorder="1" applyAlignment="1">
      <alignment horizontal="center"/>
    </xf>
    <xf numFmtId="0" fontId="2" fillId="2" borderId="8" xfId="0" applyFont="1" applyFill="1" applyBorder="1" applyAlignment="1">
      <alignment horizontal="center"/>
    </xf>
    <xf numFmtId="0" fontId="2" fillId="2" borderId="9" xfId="0" applyFont="1" applyFill="1" applyBorder="1" applyAlignment="1">
      <alignment horizontal="center"/>
    </xf>
    <xf numFmtId="0" fontId="0" fillId="0" borderId="1" xfId="0" applyFill="1" applyBorder="1"/>
  </cellXfs>
  <cellStyles count="1">
    <cellStyle name="Normal" xfId="0" builtinId="0"/>
  </cellStyles>
  <dxfs count="1">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FA586-181B-497C-B2D5-8DD50AE30CB8}">
  <dimension ref="A1:N52"/>
  <sheetViews>
    <sheetView tabSelected="1" workbookViewId="0"/>
  </sheetViews>
  <sheetFormatPr defaultRowHeight="15" x14ac:dyDescent="0.25"/>
  <cols>
    <col min="1" max="1" width="39" customWidth="1"/>
    <col min="2" max="2" width="7.85546875" customWidth="1"/>
    <col min="6" max="6" width="11.7109375" bestFit="1" customWidth="1"/>
    <col min="7" max="7" width="12.140625" bestFit="1" customWidth="1"/>
    <col min="8" max="8" width="10.140625" bestFit="1" customWidth="1"/>
    <col min="9" max="9" width="13" customWidth="1"/>
    <col min="10" max="10" width="11.28515625" bestFit="1" customWidth="1"/>
    <col min="11" max="11" width="12.7109375" customWidth="1"/>
    <col min="12" max="12" width="15.42578125" customWidth="1"/>
    <col min="13" max="13" width="76" customWidth="1"/>
    <col min="14" max="14" width="11" customWidth="1"/>
  </cols>
  <sheetData>
    <row r="1" spans="1:14" x14ac:dyDescent="0.25">
      <c r="A1" t="s">
        <v>29</v>
      </c>
      <c r="F1" s="5"/>
      <c r="G1" s="5" t="s">
        <v>18</v>
      </c>
      <c r="H1" s="5"/>
      <c r="I1" s="5" t="s">
        <v>14</v>
      </c>
      <c r="J1" s="5" t="s">
        <v>13</v>
      </c>
      <c r="K1" s="5"/>
      <c r="L1" s="4"/>
      <c r="M1" s="3"/>
    </row>
    <row r="2" spans="1:14" ht="39" x14ac:dyDescent="0.25">
      <c r="A2" s="1" t="s">
        <v>12</v>
      </c>
      <c r="B2" s="1" t="s">
        <v>11</v>
      </c>
      <c r="C2" s="1" t="s">
        <v>10</v>
      </c>
      <c r="D2" s="1" t="s">
        <v>9</v>
      </c>
      <c r="E2" s="1" t="s">
        <v>8</v>
      </c>
      <c r="F2" s="2" t="s">
        <v>7</v>
      </c>
      <c r="G2" s="2" t="s">
        <v>15</v>
      </c>
      <c r="H2" s="2" t="s">
        <v>6</v>
      </c>
      <c r="I2" s="2" t="s">
        <v>5</v>
      </c>
      <c r="J2" s="2" t="s">
        <v>4</v>
      </c>
      <c r="K2" s="2" t="s">
        <v>3</v>
      </c>
      <c r="L2" s="2" t="s">
        <v>2</v>
      </c>
      <c r="M2" s="1" t="s">
        <v>1</v>
      </c>
      <c r="N2" s="1" t="s">
        <v>0</v>
      </c>
    </row>
    <row r="3" spans="1:14" ht="30" x14ac:dyDescent="0.25">
      <c r="A3" s="20" t="s">
        <v>24</v>
      </c>
      <c r="B3" s="6" t="s">
        <v>17</v>
      </c>
      <c r="C3" s="6">
        <v>1</v>
      </c>
      <c r="D3" s="6">
        <v>2</v>
      </c>
      <c r="E3" s="6">
        <v>6</v>
      </c>
      <c r="F3" s="8">
        <v>2000000</v>
      </c>
      <c r="G3" s="8">
        <v>2318548</v>
      </c>
      <c r="H3" s="8">
        <f>G3*0.8</f>
        <v>1854838.4000000001</v>
      </c>
      <c r="I3" s="8">
        <f>H3+300000</f>
        <v>2154838.4000000004</v>
      </c>
      <c r="J3" s="8">
        <f>I3*0.8</f>
        <v>1723870.7200000004</v>
      </c>
      <c r="K3" s="8">
        <f>H3</f>
        <v>1854838.4000000001</v>
      </c>
      <c r="L3" s="7" t="s">
        <v>25</v>
      </c>
      <c r="M3" s="7" t="s">
        <v>26</v>
      </c>
      <c r="N3" s="6">
        <v>2031</v>
      </c>
    </row>
    <row r="4" spans="1:14" ht="30" x14ac:dyDescent="0.25">
      <c r="A4" s="20" t="s">
        <v>38</v>
      </c>
      <c r="B4" s="6" t="s">
        <v>17</v>
      </c>
      <c r="C4" s="6">
        <v>1</v>
      </c>
      <c r="D4" s="6">
        <v>6</v>
      </c>
      <c r="E4" s="6">
        <v>6</v>
      </c>
      <c r="F4" s="8">
        <v>2525651</v>
      </c>
      <c r="G4" s="8">
        <v>2927922</v>
      </c>
      <c r="H4" s="8">
        <v>2000000</v>
      </c>
      <c r="I4" s="8">
        <f>G4+(300000+(0.1*927922))</f>
        <v>3320714.2</v>
      </c>
      <c r="J4" s="8">
        <v>2000000</v>
      </c>
      <c r="K4" s="8">
        <f t="shared" ref="K4:K11" si="0">H4+K3</f>
        <v>3854838.4000000004</v>
      </c>
      <c r="L4" s="6" t="s">
        <v>39</v>
      </c>
      <c r="M4" s="7" t="s">
        <v>40</v>
      </c>
      <c r="N4" s="6">
        <v>2031</v>
      </c>
    </row>
    <row r="5" spans="1:14" x14ac:dyDescent="0.25">
      <c r="A5" s="20" t="s">
        <v>44</v>
      </c>
      <c r="B5" s="6" t="s">
        <v>45</v>
      </c>
      <c r="C5" s="6">
        <v>1</v>
      </c>
      <c r="D5" s="6">
        <v>8</v>
      </c>
      <c r="E5" s="6">
        <v>6</v>
      </c>
      <c r="F5" s="8">
        <v>2517500</v>
      </c>
      <c r="G5" s="8">
        <v>2918473</v>
      </c>
      <c r="H5" s="8">
        <v>2000000</v>
      </c>
      <c r="I5" s="8">
        <f>G5+(300000+(0.1*918473))</f>
        <v>3310320.3</v>
      </c>
      <c r="J5" s="8">
        <v>2000000</v>
      </c>
      <c r="K5" s="8">
        <f t="shared" si="0"/>
        <v>5854838.4000000004</v>
      </c>
      <c r="L5" s="6" t="s">
        <v>19</v>
      </c>
      <c r="M5" s="7" t="s">
        <v>46</v>
      </c>
      <c r="N5" s="6">
        <v>2031</v>
      </c>
    </row>
    <row r="6" spans="1:14" ht="18" customHeight="1" x14ac:dyDescent="0.25">
      <c r="A6" s="20" t="s">
        <v>35</v>
      </c>
      <c r="B6" s="6" t="s">
        <v>17</v>
      </c>
      <c r="C6" s="6">
        <v>1</v>
      </c>
      <c r="D6" s="6">
        <v>10</v>
      </c>
      <c r="E6" s="6">
        <v>6</v>
      </c>
      <c r="F6" s="8">
        <v>1800000</v>
      </c>
      <c r="G6" s="8">
        <v>2086693</v>
      </c>
      <c r="H6" s="8">
        <f>G6*0.8</f>
        <v>1669354.4000000001</v>
      </c>
      <c r="I6" s="8">
        <f>G6+(300000+(0.1*86693))</f>
        <v>2395362.2999999998</v>
      </c>
      <c r="J6" s="8">
        <f>I6*0.8</f>
        <v>1916289.8399999999</v>
      </c>
      <c r="K6" s="8">
        <f t="shared" si="0"/>
        <v>7524192.8000000007</v>
      </c>
      <c r="L6" s="7" t="s">
        <v>36</v>
      </c>
      <c r="M6" s="13" t="s">
        <v>37</v>
      </c>
      <c r="N6" s="6">
        <v>2031</v>
      </c>
    </row>
    <row r="7" spans="1:14" ht="30" x14ac:dyDescent="0.25">
      <c r="A7" s="20" t="s">
        <v>83</v>
      </c>
      <c r="B7" s="6" t="s">
        <v>17</v>
      </c>
      <c r="C7" s="6">
        <v>1</v>
      </c>
      <c r="D7" s="6">
        <v>14</v>
      </c>
      <c r="E7" s="6">
        <v>6</v>
      </c>
      <c r="F7" s="8">
        <v>1900000</v>
      </c>
      <c r="G7" s="8">
        <f>F7*(1.03^5)</f>
        <v>2202620.7411699998</v>
      </c>
      <c r="H7" s="8">
        <f>G7*0.8</f>
        <v>1762096.5929359999</v>
      </c>
      <c r="I7" s="8">
        <f>G7+(300000+(0.1*202621))</f>
        <v>2522882.8411699999</v>
      </c>
      <c r="J7" s="8">
        <v>2000000</v>
      </c>
      <c r="K7" s="8">
        <f t="shared" si="0"/>
        <v>9286289.3929360006</v>
      </c>
      <c r="L7" s="7" t="s">
        <v>84</v>
      </c>
      <c r="M7" s="7" t="s">
        <v>85</v>
      </c>
      <c r="N7" s="6">
        <v>2031</v>
      </c>
    </row>
    <row r="8" spans="1:14" ht="30" x14ac:dyDescent="0.25">
      <c r="A8" s="20" t="s">
        <v>92</v>
      </c>
      <c r="B8" s="6" t="s">
        <v>17</v>
      </c>
      <c r="C8" s="6">
        <v>1</v>
      </c>
      <c r="D8" s="6">
        <v>15</v>
      </c>
      <c r="E8" s="6">
        <v>6</v>
      </c>
      <c r="F8" s="8">
        <v>2000000</v>
      </c>
      <c r="G8" s="8">
        <f>F8*(1.03^5)</f>
        <v>2318548.1485999995</v>
      </c>
      <c r="H8" s="8">
        <f>G8*0.8</f>
        <v>1854838.5188799996</v>
      </c>
      <c r="I8" s="8">
        <f>G8+(300000+(0.1*318548))</f>
        <v>2650402.9485999993</v>
      </c>
      <c r="J8" s="8">
        <v>2000000</v>
      </c>
      <c r="K8" s="8">
        <f t="shared" si="0"/>
        <v>11141127.911816001</v>
      </c>
      <c r="L8" s="6" t="s">
        <v>19</v>
      </c>
      <c r="M8" s="7" t="s">
        <v>93</v>
      </c>
      <c r="N8" s="6">
        <v>2031</v>
      </c>
    </row>
    <row r="9" spans="1:14" x14ac:dyDescent="0.25">
      <c r="A9" s="20" t="s">
        <v>81</v>
      </c>
      <c r="B9" s="6" t="s">
        <v>45</v>
      </c>
      <c r="C9" s="6">
        <v>1</v>
      </c>
      <c r="D9" s="6">
        <v>16</v>
      </c>
      <c r="E9" s="6">
        <v>6</v>
      </c>
      <c r="F9" s="8">
        <v>1500000</v>
      </c>
      <c r="G9" s="8">
        <f>F9*(1.03^5)</f>
        <v>1738911.1114499997</v>
      </c>
      <c r="H9" s="8">
        <f>G9*0.8</f>
        <v>1391128.8891599998</v>
      </c>
      <c r="I9" s="8">
        <f>G9+(200000+(0.15*738911))</f>
        <v>2049747.7614499996</v>
      </c>
      <c r="J9" s="8">
        <f>I9*0.8</f>
        <v>1639798.2091599999</v>
      </c>
      <c r="K9" s="8">
        <f t="shared" si="0"/>
        <v>12532256.800976001</v>
      </c>
      <c r="L9" s="6" t="s">
        <v>19</v>
      </c>
      <c r="M9" s="7" t="s">
        <v>82</v>
      </c>
      <c r="N9" s="6">
        <v>2031</v>
      </c>
    </row>
    <row r="10" spans="1:14" x14ac:dyDescent="0.25">
      <c r="A10" s="20" t="s">
        <v>63</v>
      </c>
      <c r="B10" s="6" t="s">
        <v>17</v>
      </c>
      <c r="C10" s="6">
        <v>1</v>
      </c>
      <c r="D10" s="6">
        <v>19</v>
      </c>
      <c r="E10" s="6">
        <v>6</v>
      </c>
      <c r="F10" s="8">
        <v>1176172</v>
      </c>
      <c r="G10" s="8">
        <f>F10*(1.03^5)</f>
        <v>1363505.7065175795</v>
      </c>
      <c r="H10" s="8">
        <f>G10*0.8</f>
        <v>1090804.5652140637</v>
      </c>
      <c r="I10" s="8">
        <f>G10+(200000+(0.15*90805))</f>
        <v>1577126.4565175795</v>
      </c>
      <c r="J10" s="8">
        <f>I10*0.8</f>
        <v>1261701.1652140636</v>
      </c>
      <c r="K10" s="8">
        <f t="shared" si="0"/>
        <v>13623061.366190065</v>
      </c>
      <c r="L10" s="6" t="s">
        <v>19</v>
      </c>
      <c r="M10" s="7" t="s">
        <v>64</v>
      </c>
      <c r="N10" s="6">
        <v>2031</v>
      </c>
    </row>
    <row r="11" spans="1:14" ht="30" x14ac:dyDescent="0.25">
      <c r="A11" s="20" t="s">
        <v>32</v>
      </c>
      <c r="B11" s="6" t="s">
        <v>17</v>
      </c>
      <c r="C11" s="6">
        <v>1</v>
      </c>
      <c r="D11" s="6">
        <v>21</v>
      </c>
      <c r="E11" s="6">
        <v>6</v>
      </c>
      <c r="F11" s="8">
        <v>2500000</v>
      </c>
      <c r="G11" s="8">
        <v>2898185</v>
      </c>
      <c r="H11" s="8">
        <v>2000000</v>
      </c>
      <c r="I11" s="8">
        <f>G11+(300000+(0.1*898185))</f>
        <v>3288003.5</v>
      </c>
      <c r="J11" s="8">
        <v>2000000</v>
      </c>
      <c r="K11" s="8">
        <f t="shared" si="0"/>
        <v>15623061.366190065</v>
      </c>
      <c r="L11" s="7" t="s">
        <v>33</v>
      </c>
      <c r="M11" s="7" t="s">
        <v>34</v>
      </c>
      <c r="N11" s="6">
        <v>2031</v>
      </c>
    </row>
    <row r="12" spans="1:14" x14ac:dyDescent="0.25">
      <c r="A12" s="17" t="s">
        <v>109</v>
      </c>
      <c r="B12" s="18"/>
      <c r="C12" s="18"/>
      <c r="D12" s="18"/>
      <c r="E12" s="18"/>
      <c r="F12" s="18"/>
      <c r="G12" s="18"/>
      <c r="H12" s="18"/>
      <c r="I12" s="18"/>
      <c r="J12" s="18"/>
      <c r="K12" s="18"/>
      <c r="L12" s="18"/>
      <c r="M12" s="18"/>
      <c r="N12" s="19"/>
    </row>
    <row r="13" spans="1:14" ht="30" x14ac:dyDescent="0.25">
      <c r="A13" s="6" t="s">
        <v>30</v>
      </c>
      <c r="B13" s="6" t="s">
        <v>17</v>
      </c>
      <c r="C13" s="6">
        <v>1</v>
      </c>
      <c r="D13" s="6">
        <v>27</v>
      </c>
      <c r="E13" s="6">
        <v>6</v>
      </c>
      <c r="F13" s="8">
        <v>2500000</v>
      </c>
      <c r="G13" s="8">
        <v>2898185</v>
      </c>
      <c r="H13" s="8">
        <v>2000000</v>
      </c>
      <c r="I13" s="8">
        <f>G13+(300000+(0.1*898185))</f>
        <v>3288003.5</v>
      </c>
      <c r="J13" s="8">
        <v>2000000</v>
      </c>
      <c r="K13" s="8">
        <f>H13+K11</f>
        <v>17623061.366190065</v>
      </c>
      <c r="L13" s="6" t="s">
        <v>19</v>
      </c>
      <c r="M13" s="7" t="s">
        <v>31</v>
      </c>
      <c r="N13" s="6">
        <v>2031</v>
      </c>
    </row>
    <row r="14" spans="1:14" ht="30" x14ac:dyDescent="0.25">
      <c r="A14" s="6" t="s">
        <v>47</v>
      </c>
      <c r="B14" s="6" t="s">
        <v>17</v>
      </c>
      <c r="C14" s="6">
        <v>1</v>
      </c>
      <c r="D14" s="6">
        <v>29</v>
      </c>
      <c r="E14" s="6">
        <v>6</v>
      </c>
      <c r="F14" s="8">
        <v>2651479</v>
      </c>
      <c r="G14" s="8">
        <f t="shared" ref="G14:G21" si="1">F14*(1.03^5)</f>
        <v>3073790.8632508893</v>
      </c>
      <c r="H14" s="8">
        <v>2000000</v>
      </c>
      <c r="I14" s="8">
        <f>G14+(300000+(0.1*1073791))</f>
        <v>3481169.9632508894</v>
      </c>
      <c r="J14" s="8">
        <v>2000000</v>
      </c>
      <c r="K14" s="8">
        <f>H14+K13</f>
        <v>19623061.366190065</v>
      </c>
      <c r="L14" s="7" t="s">
        <v>48</v>
      </c>
      <c r="M14" s="7" t="s">
        <v>49</v>
      </c>
      <c r="N14" s="6">
        <v>2031</v>
      </c>
    </row>
    <row r="15" spans="1:14" ht="60" x14ac:dyDescent="0.25">
      <c r="A15" s="6" t="s">
        <v>101</v>
      </c>
      <c r="B15" s="6" t="s">
        <v>17</v>
      </c>
      <c r="C15" s="6">
        <v>1</v>
      </c>
      <c r="D15" s="6">
        <v>33</v>
      </c>
      <c r="E15" s="6">
        <v>6</v>
      </c>
      <c r="F15" s="8">
        <v>1940000</v>
      </c>
      <c r="G15" s="8">
        <f t="shared" si="1"/>
        <v>2248991.7041419996</v>
      </c>
      <c r="H15" s="8">
        <f>G15*0.8</f>
        <v>1799193.3633135997</v>
      </c>
      <c r="I15" s="8">
        <f>G15+(300000+(0.1*248992))</f>
        <v>2573890.9041419998</v>
      </c>
      <c r="J15" s="8">
        <v>2000000</v>
      </c>
      <c r="K15" s="8">
        <f t="shared" ref="K15:K43" si="2">H15+K14</f>
        <v>21422254.729503665</v>
      </c>
      <c r="L15" s="6" t="s">
        <v>19</v>
      </c>
      <c r="M15" s="7" t="s">
        <v>102</v>
      </c>
      <c r="N15" s="6">
        <v>2031</v>
      </c>
    </row>
    <row r="16" spans="1:14" x14ac:dyDescent="0.25">
      <c r="A16" s="6" t="s">
        <v>58</v>
      </c>
      <c r="B16" s="6" t="s">
        <v>17</v>
      </c>
      <c r="C16" s="6">
        <v>1</v>
      </c>
      <c r="D16" s="6">
        <v>34</v>
      </c>
      <c r="E16" s="6">
        <v>6</v>
      </c>
      <c r="F16" s="8">
        <v>2000000</v>
      </c>
      <c r="G16" s="8">
        <f t="shared" si="1"/>
        <v>2318548.1485999995</v>
      </c>
      <c r="H16" s="8">
        <f>G16*0.8</f>
        <v>1854838.5188799996</v>
      </c>
      <c r="I16" s="8">
        <f>G16+(300000+(0.1*318548))</f>
        <v>2650402.9485999993</v>
      </c>
      <c r="J16" s="8">
        <v>2000000</v>
      </c>
      <c r="K16" s="8">
        <f t="shared" si="2"/>
        <v>23277093.248383664</v>
      </c>
      <c r="L16" s="6" t="s">
        <v>19</v>
      </c>
      <c r="M16" s="7" t="s">
        <v>59</v>
      </c>
      <c r="N16" s="6">
        <v>2031</v>
      </c>
    </row>
    <row r="17" spans="1:14" ht="75" x14ac:dyDescent="0.25">
      <c r="A17" s="6" t="s">
        <v>52</v>
      </c>
      <c r="B17" s="6" t="s">
        <v>17</v>
      </c>
      <c r="C17" s="6">
        <v>1</v>
      </c>
      <c r="D17" s="6">
        <v>36</v>
      </c>
      <c r="E17" s="6">
        <v>6</v>
      </c>
      <c r="F17" s="8">
        <v>2551538</v>
      </c>
      <c r="G17" s="8">
        <f t="shared" si="1"/>
        <v>2957931.8529912732</v>
      </c>
      <c r="H17" s="8">
        <v>2000000</v>
      </c>
      <c r="I17" s="8">
        <f>G17+(300000+(0.1*957932))</f>
        <v>3353725.0529912733</v>
      </c>
      <c r="J17" s="8">
        <v>2000000</v>
      </c>
      <c r="K17" s="8">
        <f t="shared" si="2"/>
        <v>25277093.248383664</v>
      </c>
      <c r="L17" s="6" t="s">
        <v>19</v>
      </c>
      <c r="M17" s="7" t="s">
        <v>53</v>
      </c>
      <c r="N17" s="6">
        <v>2031</v>
      </c>
    </row>
    <row r="18" spans="1:14" ht="30" x14ac:dyDescent="0.25">
      <c r="A18" s="6" t="s">
        <v>60</v>
      </c>
      <c r="B18" s="6" t="s">
        <v>17</v>
      </c>
      <c r="C18" s="6">
        <v>1</v>
      </c>
      <c r="D18" s="6">
        <v>37</v>
      </c>
      <c r="E18" s="6">
        <v>6</v>
      </c>
      <c r="F18" s="8">
        <v>2114452</v>
      </c>
      <c r="G18" s="8">
        <f t="shared" si="1"/>
        <v>2451229.3849517833</v>
      </c>
      <c r="H18" s="8">
        <f>G18*0.8</f>
        <v>1960983.5079614269</v>
      </c>
      <c r="I18" s="8">
        <f>H18+300000</f>
        <v>2260983.5079614269</v>
      </c>
      <c r="J18" s="8">
        <f>I18*0.8</f>
        <v>1808786.8063691417</v>
      </c>
      <c r="K18" s="8">
        <f t="shared" si="2"/>
        <v>27238076.75634509</v>
      </c>
      <c r="L18" s="6" t="s">
        <v>61</v>
      </c>
      <c r="M18" s="7" t="s">
        <v>62</v>
      </c>
      <c r="N18" s="6">
        <v>2031</v>
      </c>
    </row>
    <row r="19" spans="1:14" ht="30" x14ac:dyDescent="0.25">
      <c r="A19" s="6" t="s">
        <v>103</v>
      </c>
      <c r="B19" s="6" t="s">
        <v>45</v>
      </c>
      <c r="C19" s="6">
        <v>1</v>
      </c>
      <c r="D19" s="6">
        <v>41</v>
      </c>
      <c r="E19" s="6">
        <v>6</v>
      </c>
      <c r="F19" s="8">
        <v>1500000</v>
      </c>
      <c r="G19" s="8">
        <f t="shared" si="1"/>
        <v>1738911.1114499997</v>
      </c>
      <c r="H19" s="8">
        <f>G19*0.8</f>
        <v>1391128.8891599998</v>
      </c>
      <c r="I19" s="8">
        <f>G19+300000</f>
        <v>2038911.1114499997</v>
      </c>
      <c r="J19" s="8">
        <f>I19*0.8</f>
        <v>1631128.8891599998</v>
      </c>
      <c r="K19" s="8">
        <f t="shared" si="2"/>
        <v>28629205.645505089</v>
      </c>
      <c r="L19" s="7" t="s">
        <v>42</v>
      </c>
      <c r="M19" s="7" t="s">
        <v>104</v>
      </c>
      <c r="N19" s="6">
        <v>2031</v>
      </c>
    </row>
    <row r="20" spans="1:14" ht="30" x14ac:dyDescent="0.25">
      <c r="A20" s="6" t="s">
        <v>67</v>
      </c>
      <c r="B20" s="6" t="s">
        <v>17</v>
      </c>
      <c r="C20" s="6">
        <v>1</v>
      </c>
      <c r="D20" s="6">
        <v>42</v>
      </c>
      <c r="E20" s="6">
        <v>6</v>
      </c>
      <c r="F20" s="8">
        <v>2000000</v>
      </c>
      <c r="G20" s="8">
        <f t="shared" si="1"/>
        <v>2318548.1485999995</v>
      </c>
      <c r="H20" s="8">
        <f>G20*0.8</f>
        <v>1854838.5188799996</v>
      </c>
      <c r="I20" s="8">
        <v>2650403</v>
      </c>
      <c r="J20" s="8">
        <v>2000000</v>
      </c>
      <c r="K20" s="8">
        <f t="shared" si="2"/>
        <v>30484044.164385088</v>
      </c>
      <c r="L20" s="6" t="s">
        <v>19</v>
      </c>
      <c r="M20" s="7" t="s">
        <v>68</v>
      </c>
      <c r="N20" s="6">
        <v>2031</v>
      </c>
    </row>
    <row r="21" spans="1:14" x14ac:dyDescent="0.25">
      <c r="A21" s="6" t="s">
        <v>72</v>
      </c>
      <c r="B21" s="6" t="s">
        <v>45</v>
      </c>
      <c r="C21" s="6">
        <v>1</v>
      </c>
      <c r="D21" s="6">
        <v>44</v>
      </c>
      <c r="E21" s="6">
        <v>6</v>
      </c>
      <c r="F21" s="8">
        <v>2000000</v>
      </c>
      <c r="G21" s="8">
        <f t="shared" si="1"/>
        <v>2318548.1485999995</v>
      </c>
      <c r="H21" s="8">
        <v>1854839</v>
      </c>
      <c r="I21" s="8">
        <v>2650403</v>
      </c>
      <c r="J21" s="8">
        <v>2000000</v>
      </c>
      <c r="K21" s="8">
        <f t="shared" si="2"/>
        <v>32338883.164385088</v>
      </c>
      <c r="L21" s="6" t="s">
        <v>19</v>
      </c>
      <c r="M21" s="7" t="s">
        <v>73</v>
      </c>
      <c r="N21" s="6">
        <v>2031</v>
      </c>
    </row>
    <row r="22" spans="1:14" ht="75" x14ac:dyDescent="0.25">
      <c r="A22" s="6" t="s">
        <v>21</v>
      </c>
      <c r="B22" s="6" t="s">
        <v>17</v>
      </c>
      <c r="C22" s="6">
        <v>1</v>
      </c>
      <c r="D22" s="6">
        <v>46</v>
      </c>
      <c r="E22" s="6">
        <v>7</v>
      </c>
      <c r="F22" s="8">
        <v>320000</v>
      </c>
      <c r="G22" s="8">
        <v>370968</v>
      </c>
      <c r="H22" s="8">
        <f t="shared" ref="H22:H27" si="3">G22*0.8</f>
        <v>296774.40000000002</v>
      </c>
      <c r="I22" s="8">
        <f>H22+125000</f>
        <v>421774.4</v>
      </c>
      <c r="J22" s="8">
        <f>I22*0.8</f>
        <v>337419.52000000002</v>
      </c>
      <c r="K22" s="8">
        <f t="shared" si="2"/>
        <v>32635657.564385086</v>
      </c>
      <c r="L22" s="7" t="s">
        <v>22</v>
      </c>
      <c r="M22" s="7" t="s">
        <v>23</v>
      </c>
      <c r="N22" s="6">
        <v>2031</v>
      </c>
    </row>
    <row r="23" spans="1:14" ht="30" x14ac:dyDescent="0.25">
      <c r="A23" s="6" t="s">
        <v>50</v>
      </c>
      <c r="B23" s="6" t="s">
        <v>17</v>
      </c>
      <c r="C23" s="6">
        <v>1</v>
      </c>
      <c r="D23" s="6">
        <v>50</v>
      </c>
      <c r="E23" s="6">
        <v>6</v>
      </c>
      <c r="F23" s="8">
        <v>1717963</v>
      </c>
      <c r="G23" s="8">
        <f t="shared" ref="G23:G34" si="4">F23*(1.03^5)</f>
        <v>1991589.9665066507</v>
      </c>
      <c r="H23" s="8">
        <f t="shared" si="3"/>
        <v>1593271.9732053205</v>
      </c>
      <c r="I23" s="8">
        <f>G23+(200000+(0.15*991950))</f>
        <v>2340382.4665066507</v>
      </c>
      <c r="J23" s="8">
        <f>I23*0.8</f>
        <v>1872305.9732053205</v>
      </c>
      <c r="K23" s="8">
        <f t="shared" si="2"/>
        <v>34228929.537590407</v>
      </c>
      <c r="L23" s="6" t="s">
        <v>19</v>
      </c>
      <c r="M23" s="7" t="s">
        <v>51</v>
      </c>
      <c r="N23" s="6">
        <v>2031</v>
      </c>
    </row>
    <row r="24" spans="1:14" ht="45" x14ac:dyDescent="0.25">
      <c r="A24" s="6" t="s">
        <v>105</v>
      </c>
      <c r="B24" s="6" t="s">
        <v>17</v>
      </c>
      <c r="C24" s="6">
        <v>1</v>
      </c>
      <c r="D24" s="6">
        <v>53</v>
      </c>
      <c r="E24" s="6">
        <v>6</v>
      </c>
      <c r="F24" s="8">
        <v>1925968</v>
      </c>
      <c r="G24" s="8">
        <f t="shared" si="4"/>
        <v>2232724.7703314223</v>
      </c>
      <c r="H24" s="8">
        <f t="shared" si="3"/>
        <v>1786179.8162651379</v>
      </c>
      <c r="I24" s="8">
        <f>G24+(300000+(0.1*232725))</f>
        <v>2555997.2703314223</v>
      </c>
      <c r="J24" s="8">
        <v>2000000</v>
      </c>
      <c r="K24" s="8">
        <f t="shared" si="2"/>
        <v>36015109.353855543</v>
      </c>
      <c r="L24" s="6" t="s">
        <v>19</v>
      </c>
      <c r="M24" s="7" t="s">
        <v>106</v>
      </c>
      <c r="N24" s="6">
        <v>2031</v>
      </c>
    </row>
    <row r="25" spans="1:14" ht="45" x14ac:dyDescent="0.25">
      <c r="A25" s="6" t="s">
        <v>69</v>
      </c>
      <c r="B25" s="6" t="s">
        <v>17</v>
      </c>
      <c r="C25" s="6">
        <v>1</v>
      </c>
      <c r="D25" s="6">
        <v>56</v>
      </c>
      <c r="E25" s="6">
        <v>6</v>
      </c>
      <c r="F25" s="8">
        <v>1912327</v>
      </c>
      <c r="G25" s="8">
        <f t="shared" si="4"/>
        <v>2216911.112683896</v>
      </c>
      <c r="H25" s="8">
        <f t="shared" si="3"/>
        <v>1773528.890147117</v>
      </c>
      <c r="I25" s="8">
        <f>G25+(300000+(0.1*216911))</f>
        <v>2538602.2126838961</v>
      </c>
      <c r="J25" s="8">
        <v>2000000</v>
      </c>
      <c r="K25" s="8">
        <f t="shared" si="2"/>
        <v>37788638.244002663</v>
      </c>
      <c r="L25" s="6" t="s">
        <v>70</v>
      </c>
      <c r="M25" s="7" t="s">
        <v>71</v>
      </c>
      <c r="N25" s="6">
        <v>2031</v>
      </c>
    </row>
    <row r="26" spans="1:14" ht="45" x14ac:dyDescent="0.25">
      <c r="A26" s="6" t="s">
        <v>86</v>
      </c>
      <c r="B26" s="6" t="s">
        <v>17</v>
      </c>
      <c r="C26" s="6">
        <v>1</v>
      </c>
      <c r="D26" s="6">
        <v>57</v>
      </c>
      <c r="E26" s="6">
        <v>7</v>
      </c>
      <c r="F26" s="8">
        <v>924000</v>
      </c>
      <c r="G26" s="8">
        <f t="shared" si="4"/>
        <v>1071169.2446531998</v>
      </c>
      <c r="H26" s="8">
        <f t="shared" si="3"/>
        <v>856935.39572255989</v>
      </c>
      <c r="I26" s="8">
        <f>G26+(200000+(0.15*71169))</f>
        <v>1281844.5946531999</v>
      </c>
      <c r="J26" s="8">
        <f>I26*0.8</f>
        <v>1025475.6757225599</v>
      </c>
      <c r="K26" s="8">
        <f t="shared" si="2"/>
        <v>38645573.639725223</v>
      </c>
      <c r="L26" s="6" t="s">
        <v>19</v>
      </c>
      <c r="M26" s="7" t="s">
        <v>87</v>
      </c>
      <c r="N26" s="6">
        <v>2031</v>
      </c>
    </row>
    <row r="27" spans="1:14" x14ac:dyDescent="0.25">
      <c r="A27" s="6" t="s">
        <v>54</v>
      </c>
      <c r="B27" s="6" t="s">
        <v>17</v>
      </c>
      <c r="C27" s="6">
        <v>1</v>
      </c>
      <c r="D27" s="6">
        <v>61</v>
      </c>
      <c r="E27" s="6">
        <v>6</v>
      </c>
      <c r="F27" s="8">
        <v>1246520</v>
      </c>
      <c r="G27" s="8">
        <f t="shared" si="4"/>
        <v>1445058.3190964358</v>
      </c>
      <c r="H27" s="8">
        <f t="shared" si="3"/>
        <v>1156046.6552771486</v>
      </c>
      <c r="I27" s="8">
        <f>G27+(200000+(0.15*445058))</f>
        <v>1711817.0190964357</v>
      </c>
      <c r="J27" s="8">
        <f>I27*0.8</f>
        <v>1369453.6152771488</v>
      </c>
      <c r="K27" s="8">
        <f t="shared" si="2"/>
        <v>39801620.295002371</v>
      </c>
      <c r="L27" s="6" t="s">
        <v>19</v>
      </c>
      <c r="M27" s="7" t="s">
        <v>55</v>
      </c>
      <c r="N27" s="6">
        <v>2031</v>
      </c>
    </row>
    <row r="28" spans="1:14" ht="60" x14ac:dyDescent="0.25">
      <c r="A28" s="6" t="s">
        <v>90</v>
      </c>
      <c r="B28" s="6" t="s">
        <v>17</v>
      </c>
      <c r="C28" s="6">
        <v>1</v>
      </c>
      <c r="D28" s="6">
        <v>63</v>
      </c>
      <c r="E28" s="6">
        <v>6</v>
      </c>
      <c r="F28" s="8">
        <v>2500000</v>
      </c>
      <c r="G28" s="8">
        <f t="shared" si="4"/>
        <v>2898185.1857499997</v>
      </c>
      <c r="H28" s="8">
        <v>2000000</v>
      </c>
      <c r="I28" s="8">
        <f>G28+(300000+(0.1*898185))</f>
        <v>3288003.6857499997</v>
      </c>
      <c r="J28" s="8">
        <v>2000000</v>
      </c>
      <c r="K28" s="8">
        <f t="shared" si="2"/>
        <v>41801620.295002371</v>
      </c>
      <c r="L28" s="6" t="s">
        <v>19</v>
      </c>
      <c r="M28" s="7" t="s">
        <v>91</v>
      </c>
      <c r="N28" s="6">
        <v>2031</v>
      </c>
    </row>
    <row r="29" spans="1:14" ht="30" x14ac:dyDescent="0.25">
      <c r="A29" s="6" t="s">
        <v>88</v>
      </c>
      <c r="B29" s="6" t="s">
        <v>17</v>
      </c>
      <c r="C29" s="6">
        <v>1</v>
      </c>
      <c r="D29" s="6">
        <v>64</v>
      </c>
      <c r="E29" s="6">
        <v>6</v>
      </c>
      <c r="F29" s="8">
        <v>2400000</v>
      </c>
      <c r="G29" s="8">
        <f t="shared" si="4"/>
        <v>2782257.7783199996</v>
      </c>
      <c r="H29" s="8">
        <v>2000000</v>
      </c>
      <c r="I29" s="8">
        <f>G29+(300000+(0.1*782258))</f>
        <v>3160483.5783199994</v>
      </c>
      <c r="J29" s="8">
        <v>2000000</v>
      </c>
      <c r="K29" s="8">
        <f t="shared" si="2"/>
        <v>43801620.295002371</v>
      </c>
      <c r="L29" s="6" t="s">
        <v>19</v>
      </c>
      <c r="M29" s="7" t="s">
        <v>89</v>
      </c>
      <c r="N29" s="6">
        <v>2031</v>
      </c>
    </row>
    <row r="30" spans="1:14" ht="60" x14ac:dyDescent="0.25">
      <c r="A30" s="6" t="s">
        <v>80</v>
      </c>
      <c r="B30" s="6" t="s">
        <v>45</v>
      </c>
      <c r="C30" s="6">
        <v>1</v>
      </c>
      <c r="D30" s="6">
        <v>67</v>
      </c>
      <c r="E30" s="6">
        <v>6</v>
      </c>
      <c r="F30" s="8">
        <v>1803600</v>
      </c>
      <c r="G30" s="8">
        <f t="shared" si="4"/>
        <v>2090866.7204074797</v>
      </c>
      <c r="H30" s="8">
        <f>G30*0.8</f>
        <v>1672693.3763259838</v>
      </c>
      <c r="I30" s="8">
        <f>G30+(300000+(0.1*90867))</f>
        <v>2399953.4204074796</v>
      </c>
      <c r="J30" s="8">
        <f>I30*0.8</f>
        <v>1919962.7363259839</v>
      </c>
      <c r="K30" s="8">
        <f t="shared" si="2"/>
        <v>45474313.671328358</v>
      </c>
      <c r="L30" s="6" t="s">
        <v>39</v>
      </c>
      <c r="M30" s="7" t="s">
        <v>77</v>
      </c>
      <c r="N30" s="6">
        <v>2031</v>
      </c>
    </row>
    <row r="31" spans="1:14" ht="60" x14ac:dyDescent="0.25">
      <c r="A31" s="6" t="s">
        <v>79</v>
      </c>
      <c r="B31" s="6" t="s">
        <v>45</v>
      </c>
      <c r="C31" s="6">
        <v>2</v>
      </c>
      <c r="D31" s="6">
        <v>67</v>
      </c>
      <c r="E31" s="6">
        <v>6</v>
      </c>
      <c r="F31" s="8">
        <v>1969716</v>
      </c>
      <c r="G31" s="8">
        <f t="shared" si="4"/>
        <v>2283440.6925338986</v>
      </c>
      <c r="H31" s="8">
        <f>G31*0.8</f>
        <v>1826752.554027119</v>
      </c>
      <c r="I31" s="8">
        <f>H31+300000</f>
        <v>2126752.5540271187</v>
      </c>
      <c r="J31" s="8">
        <f>I31*0.8</f>
        <v>1701402.0432216951</v>
      </c>
      <c r="K31" s="8">
        <f t="shared" si="2"/>
        <v>47301066.225355476</v>
      </c>
      <c r="L31" s="6" t="s">
        <v>39</v>
      </c>
      <c r="M31" s="7" t="s">
        <v>77</v>
      </c>
      <c r="N31" s="6">
        <v>2031</v>
      </c>
    </row>
    <row r="32" spans="1:14" ht="60" x14ac:dyDescent="0.25">
      <c r="A32" s="6" t="s">
        <v>78</v>
      </c>
      <c r="B32" s="6" t="s">
        <v>45</v>
      </c>
      <c r="C32" s="6">
        <v>3</v>
      </c>
      <c r="D32" s="6">
        <v>67</v>
      </c>
      <c r="E32" s="6">
        <v>6</v>
      </c>
      <c r="F32" s="8">
        <v>1803197</v>
      </c>
      <c r="G32" s="8">
        <f t="shared" si="4"/>
        <v>2090399.5329555369</v>
      </c>
      <c r="H32" s="8">
        <f>G32*0.8</f>
        <v>1672319.6263644295</v>
      </c>
      <c r="I32" s="8">
        <f>G32+(300000+(0.1*90400))</f>
        <v>2399439.5329555366</v>
      </c>
      <c r="J32" s="8">
        <f>I32*0.8</f>
        <v>1919551.6263644295</v>
      </c>
      <c r="K32" s="8">
        <f t="shared" si="2"/>
        <v>48973385.851719908</v>
      </c>
      <c r="L32" s="6" t="s">
        <v>39</v>
      </c>
      <c r="M32" s="7" t="s">
        <v>77</v>
      </c>
      <c r="N32" s="6">
        <v>2031</v>
      </c>
    </row>
    <row r="33" spans="1:14" ht="60" x14ac:dyDescent="0.25">
      <c r="A33" s="6" t="s">
        <v>76</v>
      </c>
      <c r="B33" s="6" t="s">
        <v>45</v>
      </c>
      <c r="C33" s="6">
        <v>4</v>
      </c>
      <c r="D33" s="6">
        <v>67</v>
      </c>
      <c r="E33" s="6">
        <v>6</v>
      </c>
      <c r="F33" s="8">
        <v>1789878</v>
      </c>
      <c r="G33" s="8">
        <f t="shared" si="4"/>
        <v>2074959.1615599352</v>
      </c>
      <c r="H33" s="8">
        <f>G33*0.8</f>
        <v>1659967.3292479482</v>
      </c>
      <c r="I33" s="8">
        <f>G33+(300000+(0.1*74959))</f>
        <v>2382455.0615599351</v>
      </c>
      <c r="J33" s="8">
        <f>I33*0.8</f>
        <v>1905964.0492479482</v>
      </c>
      <c r="K33" s="8">
        <f t="shared" si="2"/>
        <v>50633353.18096786</v>
      </c>
      <c r="L33" s="6" t="s">
        <v>39</v>
      </c>
      <c r="M33" s="7" t="s">
        <v>77</v>
      </c>
      <c r="N33" s="6">
        <v>2031</v>
      </c>
    </row>
    <row r="34" spans="1:14" ht="60" x14ac:dyDescent="0.25">
      <c r="A34" s="6" t="s">
        <v>74</v>
      </c>
      <c r="B34" s="6" t="s">
        <v>45</v>
      </c>
      <c r="C34" s="6">
        <v>5</v>
      </c>
      <c r="D34" s="6">
        <v>67</v>
      </c>
      <c r="E34" s="6">
        <v>6</v>
      </c>
      <c r="F34" s="8">
        <v>2071091</v>
      </c>
      <c r="G34" s="8">
        <f t="shared" si="4"/>
        <v>2400962.101816061</v>
      </c>
      <c r="H34" s="8">
        <f>G34*0.8</f>
        <v>1920769.6814528489</v>
      </c>
      <c r="I34" s="8">
        <f>G34+(300000+(0.1*400962))</f>
        <v>2741058.3018160611</v>
      </c>
      <c r="J34" s="8">
        <v>2000000</v>
      </c>
      <c r="K34" s="8">
        <f t="shared" si="2"/>
        <v>52554122.862420708</v>
      </c>
      <c r="L34" s="6" t="s">
        <v>39</v>
      </c>
      <c r="M34" s="7" t="s">
        <v>75</v>
      </c>
      <c r="N34" s="6">
        <v>2031</v>
      </c>
    </row>
    <row r="35" spans="1:14" ht="45" x14ac:dyDescent="0.25">
      <c r="A35" s="6" t="s">
        <v>16</v>
      </c>
      <c r="B35" s="6" t="s">
        <v>17</v>
      </c>
      <c r="C35" s="6">
        <v>1</v>
      </c>
      <c r="D35" s="6">
        <v>69</v>
      </c>
      <c r="E35" s="6">
        <v>6</v>
      </c>
      <c r="F35" s="8">
        <v>2400000</v>
      </c>
      <c r="G35" s="8">
        <v>2782258</v>
      </c>
      <c r="H35" s="8">
        <v>2000000</v>
      </c>
      <c r="I35" s="8">
        <f>G35+(300000+(0.1*782258))</f>
        <v>3160483.8</v>
      </c>
      <c r="J35" s="8">
        <v>2000000</v>
      </c>
      <c r="K35" s="8">
        <f t="shared" si="2"/>
        <v>54554122.862420708</v>
      </c>
      <c r="L35" s="6" t="s">
        <v>19</v>
      </c>
      <c r="M35" s="7" t="s">
        <v>20</v>
      </c>
      <c r="N35" s="6">
        <v>2031</v>
      </c>
    </row>
    <row r="36" spans="1:14" ht="30" x14ac:dyDescent="0.25">
      <c r="A36" s="6" t="s">
        <v>41</v>
      </c>
      <c r="B36" s="6" t="s">
        <v>17</v>
      </c>
      <c r="C36" s="6">
        <v>1</v>
      </c>
      <c r="D36" s="6">
        <v>73</v>
      </c>
      <c r="E36" s="6">
        <v>6</v>
      </c>
      <c r="F36" s="8">
        <v>2500000</v>
      </c>
      <c r="G36" s="8">
        <v>2898185</v>
      </c>
      <c r="H36" s="8">
        <v>2000000</v>
      </c>
      <c r="I36" s="8">
        <v>3288004</v>
      </c>
      <c r="J36" s="8">
        <v>2000000</v>
      </c>
      <c r="K36" s="8">
        <f t="shared" si="2"/>
        <v>56554122.862420708</v>
      </c>
      <c r="L36" s="7" t="s">
        <v>42</v>
      </c>
      <c r="M36" s="7" t="s">
        <v>43</v>
      </c>
      <c r="N36" s="6">
        <v>2031</v>
      </c>
    </row>
    <row r="37" spans="1:14" ht="30" x14ac:dyDescent="0.25">
      <c r="A37" s="6" t="s">
        <v>65</v>
      </c>
      <c r="B37" s="6" t="s">
        <v>17</v>
      </c>
      <c r="C37" s="6">
        <v>1</v>
      </c>
      <c r="D37" s="6">
        <v>82</v>
      </c>
      <c r="E37" s="6">
        <v>7</v>
      </c>
      <c r="F37" s="8">
        <v>721445</v>
      </c>
      <c r="G37" s="8">
        <f>F37*(1.03^5)</f>
        <v>836352.48453336337</v>
      </c>
      <c r="H37" s="8">
        <f>G37*0.8</f>
        <v>669081.98762669077</v>
      </c>
      <c r="I37" s="8">
        <f>G37+(125000+(0.2*336352))</f>
        <v>1028622.8845333634</v>
      </c>
      <c r="J37" s="8">
        <f>I37*0.8</f>
        <v>822898.30762669072</v>
      </c>
      <c r="K37" s="8">
        <f t="shared" si="2"/>
        <v>57223204.850047402</v>
      </c>
      <c r="L37" s="6" t="s">
        <v>19</v>
      </c>
      <c r="M37" s="7" t="s">
        <v>66</v>
      </c>
      <c r="N37" s="6">
        <v>2031</v>
      </c>
    </row>
    <row r="38" spans="1:14" ht="30" x14ac:dyDescent="0.25">
      <c r="A38" s="6" t="s">
        <v>94</v>
      </c>
      <c r="B38" s="6" t="s">
        <v>17</v>
      </c>
      <c r="C38" s="6">
        <v>1</v>
      </c>
      <c r="D38" s="6">
        <v>83</v>
      </c>
      <c r="E38" s="6">
        <v>7</v>
      </c>
      <c r="F38" s="8">
        <v>716650</v>
      </c>
      <c r="G38" s="8">
        <f>F38*(1.03^5)</f>
        <v>830793.76534709486</v>
      </c>
      <c r="H38" s="8">
        <f>G38*0.8</f>
        <v>664635.01227767591</v>
      </c>
      <c r="I38" s="8">
        <f>G38+(125000+(0.2*330794))</f>
        <v>1021952.5653470948</v>
      </c>
      <c r="J38" s="8">
        <f>I38*0.8</f>
        <v>817562.05227767583</v>
      </c>
      <c r="K38" s="8">
        <f t="shared" si="2"/>
        <v>57887839.86232508</v>
      </c>
      <c r="L38" s="6" t="s">
        <v>99</v>
      </c>
      <c r="M38" s="7" t="s">
        <v>96</v>
      </c>
      <c r="N38" s="6">
        <v>2031</v>
      </c>
    </row>
    <row r="39" spans="1:14" ht="30" x14ac:dyDescent="0.25">
      <c r="A39" s="6" t="s">
        <v>98</v>
      </c>
      <c r="B39" s="6" t="s">
        <v>17</v>
      </c>
      <c r="C39" s="6">
        <v>2</v>
      </c>
      <c r="D39" s="6">
        <v>83</v>
      </c>
      <c r="E39" s="6">
        <v>7</v>
      </c>
      <c r="F39" s="8">
        <v>746025</v>
      </c>
      <c r="G39" s="8">
        <f>F39*(1.03^5)</f>
        <v>864847.44127965742</v>
      </c>
      <c r="H39" s="8">
        <f>G39*0.8</f>
        <v>691877.953023726</v>
      </c>
      <c r="I39" s="8">
        <f>G39+(125000+(0.2*364847))</f>
        <v>1062816.8412796576</v>
      </c>
      <c r="J39" s="8">
        <f>I39*0.8</f>
        <v>850253.47302372614</v>
      </c>
      <c r="K39" s="8">
        <f t="shared" si="2"/>
        <v>58579717.815348804</v>
      </c>
      <c r="L39" s="6" t="s">
        <v>99</v>
      </c>
      <c r="M39" s="7" t="s">
        <v>100</v>
      </c>
      <c r="N39" s="6">
        <v>2031</v>
      </c>
    </row>
    <row r="40" spans="1:14" ht="30" x14ac:dyDescent="0.25">
      <c r="A40" s="6" t="s">
        <v>95</v>
      </c>
      <c r="B40" s="6" t="s">
        <v>17</v>
      </c>
      <c r="C40" s="6">
        <v>3</v>
      </c>
      <c r="D40" s="6">
        <v>83</v>
      </c>
      <c r="E40" s="6">
        <v>7</v>
      </c>
      <c r="F40" s="8">
        <v>698780</v>
      </c>
      <c r="G40" s="8">
        <f>F40*(1.03^5)</f>
        <v>810077.53763935389</v>
      </c>
      <c r="H40" s="8">
        <f>G40*0.8</f>
        <v>648062.03011148318</v>
      </c>
      <c r="I40" s="8">
        <f>G40+(125000+(0.2*310078))</f>
        <v>997093.13763935387</v>
      </c>
      <c r="J40" s="8">
        <f>I40*0.8</f>
        <v>797674.51011148316</v>
      </c>
      <c r="K40" s="8">
        <f t="shared" si="2"/>
        <v>59227779.845460288</v>
      </c>
      <c r="L40" s="6" t="s">
        <v>99</v>
      </c>
      <c r="M40" s="7" t="s">
        <v>97</v>
      </c>
      <c r="N40" s="6">
        <v>2031</v>
      </c>
    </row>
    <row r="41" spans="1:14" x14ac:dyDescent="0.25">
      <c r="A41" s="6" t="s">
        <v>56</v>
      </c>
      <c r="B41" s="6" t="s">
        <v>17</v>
      </c>
      <c r="C41" s="6">
        <v>1</v>
      </c>
      <c r="D41" s="6">
        <v>87</v>
      </c>
      <c r="E41" s="6">
        <v>7</v>
      </c>
      <c r="F41" s="8">
        <v>975000</v>
      </c>
      <c r="G41" s="8">
        <f>F41*(1.03^5)</f>
        <v>1130292.2224424998</v>
      </c>
      <c r="H41" s="8">
        <f>G41*0.8</f>
        <v>904233.77795399993</v>
      </c>
      <c r="I41" s="8">
        <f>G41+(200000+(0.15*130292))</f>
        <v>1349836.0224424999</v>
      </c>
      <c r="J41" s="8">
        <f>I41*0.8</f>
        <v>1079868.8179539999</v>
      </c>
      <c r="K41" s="8">
        <f t="shared" si="2"/>
        <v>60132013.623414285</v>
      </c>
      <c r="L41" s="6" t="s">
        <v>19</v>
      </c>
      <c r="M41" s="7" t="s">
        <v>57</v>
      </c>
      <c r="N41" s="6">
        <v>2031</v>
      </c>
    </row>
    <row r="42" spans="1:14" ht="30" x14ac:dyDescent="0.25">
      <c r="A42" s="6" t="s">
        <v>27</v>
      </c>
      <c r="B42" s="6" t="s">
        <v>17</v>
      </c>
      <c r="C42" s="6">
        <v>1</v>
      </c>
      <c r="D42" s="6">
        <v>22</v>
      </c>
      <c r="E42" s="6">
        <v>7</v>
      </c>
      <c r="F42" s="8">
        <v>3000</v>
      </c>
      <c r="G42" s="8">
        <v>3478</v>
      </c>
      <c r="H42" s="8"/>
      <c r="I42" s="8"/>
      <c r="J42" s="8"/>
      <c r="K42" s="8">
        <f t="shared" si="2"/>
        <v>60132013.623414285</v>
      </c>
      <c r="L42" s="6"/>
      <c r="M42" s="7" t="s">
        <v>28</v>
      </c>
      <c r="N42" s="6"/>
    </row>
    <row r="43" spans="1:14" x14ac:dyDescent="0.25">
      <c r="A43" s="6"/>
      <c r="B43" s="6"/>
      <c r="C43" s="6"/>
      <c r="D43" s="6"/>
      <c r="E43" s="6"/>
      <c r="F43" s="8"/>
      <c r="G43" s="8">
        <f>F43*(1.03^5)</f>
        <v>0</v>
      </c>
      <c r="H43" s="8"/>
      <c r="I43" s="8"/>
      <c r="J43" s="8"/>
      <c r="K43" s="8">
        <f t="shared" si="2"/>
        <v>60132013.623414285</v>
      </c>
      <c r="L43" s="6"/>
      <c r="M43" s="7"/>
      <c r="N43" s="6"/>
    </row>
    <row r="44" spans="1:14" ht="15.75" thickBot="1" x14ac:dyDescent="0.3"/>
    <row r="45" spans="1:14" ht="15.75" thickBot="1" x14ac:dyDescent="0.3">
      <c r="A45" s="14" t="s">
        <v>110</v>
      </c>
      <c r="F45" s="10" t="s">
        <v>108</v>
      </c>
      <c r="G45" s="12">
        <f>SUM(G3:G41)</f>
        <v>79200390.108180001</v>
      </c>
      <c r="J45" s="9" t="s">
        <v>107</v>
      </c>
      <c r="K45" s="11">
        <f>K43</f>
        <v>60132013.623414285</v>
      </c>
    </row>
    <row r="46" spans="1:14" x14ac:dyDescent="0.25">
      <c r="A46" s="15"/>
    </row>
    <row r="47" spans="1:14" x14ac:dyDescent="0.25">
      <c r="A47" s="15"/>
    </row>
    <row r="48" spans="1:14" x14ac:dyDescent="0.25">
      <c r="A48" s="15"/>
    </row>
    <row r="49" spans="1:1" x14ac:dyDescent="0.25">
      <c r="A49" s="15"/>
    </row>
    <row r="50" spans="1:1" x14ac:dyDescent="0.25">
      <c r="A50" s="15"/>
    </row>
    <row r="51" spans="1:1" x14ac:dyDescent="0.25">
      <c r="A51" s="15"/>
    </row>
    <row r="52" spans="1:1" ht="15.75" thickBot="1" x14ac:dyDescent="0.3">
      <c r="A52" s="16"/>
    </row>
  </sheetData>
  <sortState xmlns:xlrd2="http://schemas.microsoft.com/office/spreadsheetml/2017/richdata2" ref="A3:N41">
    <sortCondition ref="D3:D41"/>
    <sortCondition ref="C3:C41"/>
    <sortCondition sortBy="cellColor" ref="A3:A41" dxfId="0"/>
  </sortState>
  <mergeCells count="2">
    <mergeCell ref="A45:A52"/>
    <mergeCell ref="A12:N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23756e1-37e2-40a0-9f87-466b1174cb1b">
      <Terms xmlns="http://schemas.microsoft.com/office/infopath/2007/PartnerControls"/>
    </lcf76f155ced4ddcb4097134ff3c332f>
    <TaxCatchAll xmlns="d8cb2850-a1af-4628-8af6-fd3da57cf29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9CE379A7BA1F6408ECD0B2E7D54AA42" ma:contentTypeVersion="13" ma:contentTypeDescription="Create a new document." ma:contentTypeScope="" ma:versionID="9b23cd94496478cd198966ece9097fc0">
  <xsd:schema xmlns:xsd="http://www.w3.org/2001/XMLSchema" xmlns:xs="http://www.w3.org/2001/XMLSchema" xmlns:p="http://schemas.microsoft.com/office/2006/metadata/properties" xmlns:ns2="e23756e1-37e2-40a0-9f87-466b1174cb1b" xmlns:ns3="d8cb2850-a1af-4628-8af6-fd3da57cf296" targetNamespace="http://schemas.microsoft.com/office/2006/metadata/properties" ma:root="true" ma:fieldsID="da024f237469f8275a07fac1b0917b56" ns2:_="" ns3:_="">
    <xsd:import namespace="e23756e1-37e2-40a0-9f87-466b1174cb1b"/>
    <xsd:import namespace="d8cb2850-a1af-4628-8af6-fd3da57cf29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3756e1-37e2-40a0-9f87-466b1174cb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a8b0d71-4260-48c6-a3e3-aa4a77d9c91b"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cb2850-a1af-4628-8af6-fd3da57cf29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b4bb863-a199-400e-8398-0e67cc028ef2}" ma:internalName="TaxCatchAll" ma:showField="CatchAllData" ma:web="d8cb2850-a1af-4628-8af6-fd3da57cf2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FB1EF5-118E-4B60-8F3E-06E5E61D3BD8}">
  <ds:schemaRefs>
    <ds:schemaRef ds:uri="http://schemas.microsoft.com/office/2006/metadata/properties"/>
    <ds:schemaRef ds:uri="http://schemas.microsoft.com/office/infopath/2007/PartnerControls"/>
    <ds:schemaRef ds:uri="e23756e1-37e2-40a0-9f87-466b1174cb1b"/>
    <ds:schemaRef ds:uri="d8cb2850-a1af-4628-8af6-fd3da57cf296"/>
  </ds:schemaRefs>
</ds:datastoreItem>
</file>

<file path=customXml/itemProps2.xml><?xml version="1.0" encoding="utf-8"?>
<ds:datastoreItem xmlns:ds="http://schemas.openxmlformats.org/officeDocument/2006/customXml" ds:itemID="{AF96187D-1267-42E5-BEDC-E09BFB97C7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3756e1-37e2-40a0-9f87-466b1174cb1b"/>
    <ds:schemaRef ds:uri="d8cb2850-a1af-4628-8af6-fd3da57cf2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29BFD0-31DB-4056-94A0-9695AEAD53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Kelly</dc:creator>
  <cp:lastModifiedBy>Andrew Kelly</cp:lastModifiedBy>
  <dcterms:created xsi:type="dcterms:W3CDTF">2026-03-12T13:35:46Z</dcterms:created>
  <dcterms:modified xsi:type="dcterms:W3CDTF">2026-04-23T19:23:09Z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0x01010049CE379A7BA1F6408ECD0B2E7D54AA42</vt:lpwstr>
  </property>
  <property fmtid="{D5CDD505-2E9C-101B-9397-08002B2CF9AE}" pid="3" name="MediaServiceImageTags">
    <vt:lpwstr/>
  </property>
</Properties>
</file>