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400" windowHeight="13140" activeTab="0"/>
  </bookViews>
  <sheets>
    <sheet name="Guardrail Application" sheetId="1" r:id="rId1"/>
    <sheet name="Pavement Marking Application" sheetId="2" r:id="rId2"/>
    <sheet name="RPM Application" sheetId="3" r:id="rId3"/>
    <sheet name="County Totals" sheetId="4" r:id="rId4"/>
    <sheet name="Guardrail" sheetId="5" r:id="rId5"/>
    <sheet name="PMarkings" sheetId="6" r:id="rId6"/>
    <sheet name="RPMs" sheetId="7" r:id="rId7"/>
    <sheet name="Costs" sheetId="8" r:id="rId8"/>
  </sheets>
  <definedNames>
    <definedName name="_xlnm._FilterDatabase" localSheetId="3" hidden="1">'County Totals'!$A$2:$J$90</definedName>
    <definedName name="_xlnm._FilterDatabase" localSheetId="4" hidden="1">'Guardrail'!$A$3:$P$91</definedName>
    <definedName name="_xlnm._FilterDatabase" localSheetId="5" hidden="1">'PMarkings'!$A$3:$J$91</definedName>
    <definedName name="_xlnm._FilterDatabase" localSheetId="6" hidden="1">'RPMs'!$A$3:$D$91</definedName>
    <definedName name="_xlfn.IFERROR" hidden="1">#NAME?</definedName>
    <definedName name="_xlfn.RANK.AVG" hidden="1">#NAME?</definedName>
    <definedName name="County">'County Totals'!$A$3:$A$90</definedName>
    <definedName name="County_Cd">'County Totals'!$A$3:$A$90</definedName>
    <definedName name="_xlnm.Print_Area" localSheetId="0">'Guardrail Application'!$A$1:$J$47</definedName>
    <definedName name="_xlnm.Print_Area" localSheetId="1">'Pavement Marking Application'!$A$1:$J$57</definedName>
    <definedName name="_xlnm.Print_Area" localSheetId="2">'RPM Application'!$A$1:$J$43</definedName>
    <definedName name="Select">'Costs'!$F$1:$F$3</definedName>
  </definedNames>
  <calcPr fullCalcOnLoad="1"/>
</workbook>
</file>

<file path=xl/sharedStrings.xml><?xml version="1.0" encoding="utf-8"?>
<sst xmlns="http://schemas.openxmlformats.org/spreadsheetml/2006/main" count="564" uniqueCount="191">
  <si>
    <t>ADA</t>
  </si>
  <si>
    <t>ALL</t>
  </si>
  <si>
    <t>ASD</t>
  </si>
  <si>
    <t>ATB</t>
  </si>
  <si>
    <t>ATH</t>
  </si>
  <si>
    <t>AUG</t>
  </si>
  <si>
    <t>BEL</t>
  </si>
  <si>
    <t>BRO</t>
  </si>
  <si>
    <t>BUT</t>
  </si>
  <si>
    <t>CAR</t>
  </si>
  <si>
    <t>CHP</t>
  </si>
  <si>
    <t>CLA</t>
  </si>
  <si>
    <t>CLE</t>
  </si>
  <si>
    <t>CLI</t>
  </si>
  <si>
    <t>COL</t>
  </si>
  <si>
    <t>COS</t>
  </si>
  <si>
    <t>CRA</t>
  </si>
  <si>
    <t>CUY</t>
  </si>
  <si>
    <t>DAR</t>
  </si>
  <si>
    <t>DEF</t>
  </si>
  <si>
    <t>DEL</t>
  </si>
  <si>
    <t>ERI</t>
  </si>
  <si>
    <t>FAI</t>
  </si>
  <si>
    <t>FAY</t>
  </si>
  <si>
    <t>FRA</t>
  </si>
  <si>
    <t>FUL</t>
  </si>
  <si>
    <t>GAL</t>
  </si>
  <si>
    <t>GEA</t>
  </si>
  <si>
    <t>GRE</t>
  </si>
  <si>
    <t>GUE</t>
  </si>
  <si>
    <t>HAM</t>
  </si>
  <si>
    <t>HAN</t>
  </si>
  <si>
    <t>HAR</t>
  </si>
  <si>
    <t>HAS</t>
  </si>
  <si>
    <t>HEN</t>
  </si>
  <si>
    <t>HIG</t>
  </si>
  <si>
    <t>HOC</t>
  </si>
  <si>
    <t>HOL</t>
  </si>
  <si>
    <t>HUR</t>
  </si>
  <si>
    <t>JAC</t>
  </si>
  <si>
    <t>JEF</t>
  </si>
  <si>
    <t>KNO</t>
  </si>
  <si>
    <t>LAK</t>
  </si>
  <si>
    <t>LAW</t>
  </si>
  <si>
    <t>LIC</t>
  </si>
  <si>
    <t>LOG</t>
  </si>
  <si>
    <t>LOR</t>
  </si>
  <si>
    <t>LUC</t>
  </si>
  <si>
    <t>MAD</t>
  </si>
  <si>
    <t>MAH</t>
  </si>
  <si>
    <t>MAR</t>
  </si>
  <si>
    <t>MED</t>
  </si>
  <si>
    <t>MEG</t>
  </si>
  <si>
    <t>MER</t>
  </si>
  <si>
    <t>MIA</t>
  </si>
  <si>
    <t>MOE</t>
  </si>
  <si>
    <t>MOT</t>
  </si>
  <si>
    <t>MRG</t>
  </si>
  <si>
    <t>MRW</t>
  </si>
  <si>
    <t>MUS</t>
  </si>
  <si>
    <t>NOB</t>
  </si>
  <si>
    <t>OTT</t>
  </si>
  <si>
    <t>PAU</t>
  </si>
  <si>
    <t>PER</t>
  </si>
  <si>
    <t>PIC</t>
  </si>
  <si>
    <t>PIK</t>
  </si>
  <si>
    <t>POR</t>
  </si>
  <si>
    <t>PRE</t>
  </si>
  <si>
    <t>PUT</t>
  </si>
  <si>
    <t>RIC</t>
  </si>
  <si>
    <t>ROS</t>
  </si>
  <si>
    <t>SAN</t>
  </si>
  <si>
    <t>SCI</t>
  </si>
  <si>
    <t>SEN</t>
  </si>
  <si>
    <t>SHE</t>
  </si>
  <si>
    <t>STA</t>
  </si>
  <si>
    <t>SUM</t>
  </si>
  <si>
    <t>TRU</t>
  </si>
  <si>
    <t>TUS</t>
  </si>
  <si>
    <t>UNI</t>
  </si>
  <si>
    <t>VAN</t>
  </si>
  <si>
    <t>VIN</t>
  </si>
  <si>
    <t>WAR</t>
  </si>
  <si>
    <t>WAS</t>
  </si>
  <si>
    <t>WAY</t>
  </si>
  <si>
    <t>WIL</t>
  </si>
  <si>
    <t>WOO</t>
  </si>
  <si>
    <t>WYA</t>
  </si>
  <si>
    <t>County</t>
  </si>
  <si>
    <t>ADT-Miles Total</t>
  </si>
  <si>
    <t>Average ADT</t>
  </si>
  <si>
    <t>Crash Rate</t>
  </si>
  <si>
    <t>Crash Total</t>
  </si>
  <si>
    <t>Fatal Crash Total</t>
  </si>
  <si>
    <t>Injury Crash Total</t>
  </si>
  <si>
    <t>Pavement Marking Total</t>
  </si>
  <si>
    <t>Raised Pavement Marking Total</t>
  </si>
  <si>
    <t>Project Administration:</t>
  </si>
  <si>
    <t>LOCAL-LET:</t>
  </si>
  <si>
    <t>ODOT-LET:</t>
  </si>
  <si>
    <t>%</t>
  </si>
  <si>
    <t>County Rank</t>
  </si>
  <si>
    <t>Severity Factor</t>
  </si>
  <si>
    <t>Points</t>
  </si>
  <si>
    <t>1. Submit cost estimates in current year dollars and include 10% CE</t>
  </si>
  <si>
    <t>- changing a blunt end or turned-down end treatment to a new end treatment</t>
  </si>
  <si>
    <t>- upgrading existing guardrail from Type 4 to Type 5</t>
  </si>
  <si>
    <t>**NOTE:</t>
  </si>
  <si>
    <t>Funding:*</t>
  </si>
  <si>
    <t>Guardrail Scoring:</t>
  </si>
  <si>
    <t>$0 to $100,000</t>
  </si>
  <si>
    <t>Guardrail Cost Scoring Point Table</t>
  </si>
  <si>
    <t>Costs</t>
  </si>
  <si>
    <t>Points Awarded:</t>
  </si>
  <si>
    <t>% of Fatal and Injury Crashes of State Total</t>
  </si>
  <si>
    <t>% of Fatal and Injury Crashes for Group of the County Total</t>
  </si>
  <si>
    <t xml:space="preserve">Total = </t>
  </si>
  <si>
    <t xml:space="preserve">Total Points: </t>
  </si>
  <si>
    <t>Date:</t>
  </si>
  <si>
    <t>County Engineer's Signature:</t>
  </si>
  <si>
    <r>
      <t xml:space="preserve">Repairing or replacing existing guardrail in-kind is considered maintenance and is </t>
    </r>
    <r>
      <rPr>
        <b/>
        <i/>
        <sz val="11"/>
        <color indexed="8"/>
        <rFont val="Calibri"/>
        <family val="2"/>
      </rPr>
      <t>NOT</t>
    </r>
    <r>
      <rPr>
        <i/>
        <sz val="11"/>
        <color indexed="8"/>
        <rFont val="Calibri"/>
        <family val="2"/>
      </rPr>
      <t xml:space="preserve"> Eligible for HSIP Funding.  If funding is desired for this type of work, please submit a CSTP Funding Application.</t>
    </r>
  </si>
  <si>
    <t>Weighted Points Earned</t>
  </si>
  <si>
    <t>Weighted Points Possible</t>
  </si>
  <si>
    <t>Fixed Object Struck (Everything except Guardrail)</t>
  </si>
  <si>
    <t>Pavement Markings - New</t>
  </si>
  <si>
    <t>Pavement Markings - Upgrade</t>
  </si>
  <si>
    <t>-  installing pavement markings where there has been no pavement markings in the past</t>
  </si>
  <si>
    <r>
      <t xml:space="preserve">Repairing or replacing existing pavement markings in-kind is considered maintenance and is </t>
    </r>
    <r>
      <rPr>
        <b/>
        <i/>
        <sz val="11"/>
        <color indexed="8"/>
        <rFont val="Calibri"/>
        <family val="2"/>
      </rPr>
      <t>NOT</t>
    </r>
    <r>
      <rPr>
        <i/>
        <sz val="11"/>
        <color indexed="8"/>
        <rFont val="Calibri"/>
        <family val="2"/>
      </rPr>
      <t xml:space="preserve"> Eligible for HSIP Funding.  If funding is desired for this type of work, please submit a CSTP Funding Application.</t>
    </r>
  </si>
  <si>
    <t>-  installing raised pavement markers where there has been no raised pavement markers in the past</t>
  </si>
  <si>
    <t>Raised Pavement Markers - New</t>
  </si>
  <si>
    <t>PM Cost Scoring Point Table</t>
  </si>
  <si>
    <t>$0 to $50,000</t>
  </si>
  <si>
    <t>$100,001 to $150,000</t>
  </si>
  <si>
    <t>$50,001 to $100,000</t>
  </si>
  <si>
    <t>$100,001 to $200,000</t>
  </si>
  <si>
    <t>$200,001 to $300,000</t>
  </si>
  <si>
    <t>$0 to $25,000</t>
  </si>
  <si>
    <t>$25,001 to $50,000</t>
  </si>
  <si>
    <t>$50,001 to $75,000</t>
  </si>
  <si>
    <t>- upgrading the existing pavement markings to a longer-lasting material or upgraded type</t>
  </si>
  <si>
    <t>Effective-ness Factor</t>
  </si>
  <si>
    <r>
      <t xml:space="preserve">Repairing or replacing existing raised pavement markers in-kind is considered maintenance and is </t>
    </r>
    <r>
      <rPr>
        <b/>
        <i/>
        <sz val="11"/>
        <color indexed="8"/>
        <rFont val="Calibri"/>
        <family val="2"/>
      </rPr>
      <t>NOT</t>
    </r>
    <r>
      <rPr>
        <i/>
        <sz val="11"/>
        <color indexed="8"/>
        <rFont val="Calibri"/>
        <family val="2"/>
      </rPr>
      <t xml:space="preserve"> Eligible for HSIP Funding.  If funding is desired for this type of work, please submit a CSTP Funding Application.</t>
    </r>
  </si>
  <si>
    <t>Raised Pavement Marker Scoring:</t>
  </si>
  <si>
    <t>Pavement Marking Scoring:</t>
  </si>
  <si>
    <t>Effective-ness Factor^</t>
  </si>
  <si>
    <t xml:space="preserve">   (*Guardrail Projects are funded at 100% federal)</t>
  </si>
  <si>
    <t xml:space="preserve">   (*Pavement Marking Projects are funded at 100% federal)</t>
  </si>
  <si>
    <t xml:space="preserve">   (*Raised Pavement Marker Projects are funded at 100% federal)</t>
  </si>
  <si>
    <t>New Guardrail For Fixed Object Protection</t>
  </si>
  <si>
    <t>Upgrading Existing Guardrail</t>
  </si>
  <si>
    <t>RPM Cost Scoring Point Table</t>
  </si>
  <si>
    <t>No</t>
  </si>
  <si>
    <t>Yes</t>
  </si>
  <si>
    <t>$</t>
  </si>
  <si>
    <t>Crash Rate Rank</t>
  </si>
  <si>
    <t>Crash Rate Priority Ranking</t>
  </si>
  <si>
    <t>Run off the Road and Fixed Object Struck (Guardrail)</t>
  </si>
  <si>
    <t>Wet Pavement Crashes (in dark with lights, Dusk, and Dawn), Night Crashes, Run off the Road Crashes, Head-on and Sideswipe-Meeting</t>
  </si>
  <si>
    <t xml:space="preserve">COUNTY: </t>
  </si>
  <si>
    <t xml:space="preserve">Category 1: </t>
  </si>
  <si>
    <t xml:space="preserve">Category 2: </t>
  </si>
  <si>
    <t>Category 1: New Guardrail For Fixed Object Protection</t>
  </si>
  <si>
    <t>Category 2: Upgrading Existing Guardrail</t>
  </si>
  <si>
    <t>Category 1: Raised Pavement Marker - New</t>
  </si>
  <si>
    <t>2. CRASH BENEFIT ANALYSIS (88 Points Possible)</t>
  </si>
  <si>
    <t>TOTAL FUNDING REQUEST ($300,000 max):</t>
  </si>
  <si>
    <t>TOTAL FUNDING REQUEST ($150,000 max):</t>
  </si>
  <si>
    <t>TOTAL FUNDING REQUEST ($75,000 max):</t>
  </si>
  <si>
    <t>- extending existing guardrail installations to meet current design requirements of Section 602 of the ODOT Location and Design Manual, Volume 1 in order to protect a fixed object</t>
  </si>
  <si>
    <t>- installing a new guardrail where no guardrail has existed in the past to protect a fixed object as defined in the ODOT Location and Design Manual, Volume 1, Section 601</t>
  </si>
  <si>
    <t>APPROXIMATELY WHAT PERCENTAGE OF THE TOTAL FUNDING REQUEST DOES THIS PROJECT INVOLVE:</t>
  </si>
  <si>
    <t>Project Category:</t>
  </si>
  <si>
    <t>1. FUNDING REQUEST AMOUNT (6 Points Possible)</t>
  </si>
  <si>
    <t>Project Category</t>
  </si>
  <si>
    <t>Category %</t>
  </si>
  <si>
    <t>3. The Total Funding Request will be the maximum amount of funding allocated to the County's project.</t>
  </si>
  <si>
    <t>2. Requested Year and Estimated Costs may differ from actual approval by the CSTP/LBR Committee.</t>
  </si>
  <si>
    <t>Requested Funding</t>
  </si>
  <si>
    <t>(^Effectiveness Factor is based on a comparison of Crash Modification Factors)</t>
  </si>
  <si>
    <t>Pavement Markings - Edgeline Rumble Stripe</t>
  </si>
  <si>
    <t>Pavement Markings - Upgrade Wider Markings</t>
  </si>
  <si>
    <t>- Installing Edgeline Rumble Stripes</t>
  </si>
  <si>
    <t>- upgrading the existing pavement markings to a wider pavement marking type</t>
  </si>
  <si>
    <t xml:space="preserve">Category 3: </t>
  </si>
  <si>
    <t xml:space="preserve">Category 4: </t>
  </si>
  <si>
    <t>-It is recommended that these should be installed with a larger resurfacing project.</t>
  </si>
  <si>
    <t>-It is recommended that edgeline rumble stripes be installed on asphalt roadways with a total surface width of 24 feet.</t>
  </si>
  <si>
    <t xml:space="preserve">  (Safety would pay for the additional costs of adding rumble stripes to the project)</t>
  </si>
  <si>
    <t>Wet Pavement, Night Crashes, Run off the Road Crashes, Head-on and Sideswipe-Meeting)</t>
  </si>
  <si>
    <t>Weighted AADT</t>
  </si>
  <si>
    <t>Unincorporated County Route Mileage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</si>
</sst>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#\ &quot;Mi&quot;"/>
    <numFmt numFmtId="166" formatCode="[$-409]dddd\,\ mmmm\ dd\,\ yyyy"/>
    <numFmt numFmtId="167" formatCode="[$-409]h:mm:ss\ AM/PM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00000000"/>
    <numFmt numFmtId="174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sz val="16"/>
      <color theme="1"/>
      <name val="Calibri"/>
      <family val="2"/>
    </font>
    <font>
      <sz val="11"/>
      <color rgb="FFFFFF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/>
      <top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medium"/>
      <top/>
      <bottom/>
    </border>
    <border>
      <left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5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 textRotation="90" wrapText="1"/>
    </xf>
    <xf numFmtId="3" fontId="0" fillId="0" borderId="0" xfId="0" applyNumberFormat="1" applyAlignment="1">
      <alignment horizontal="center" textRotation="90"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39" fillId="0" borderId="0" xfId="0" applyFont="1" applyBorder="1" applyAlignment="1">
      <alignment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39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44" fontId="0" fillId="0" borderId="10" xfId="44" applyFont="1" applyBorder="1" applyAlignment="1">
      <alignment/>
    </xf>
    <xf numFmtId="0" fontId="0" fillId="0" borderId="12" xfId="0" applyBorder="1" applyAlignment="1">
      <alignment horizontal="center"/>
    </xf>
    <xf numFmtId="44" fontId="0" fillId="0" borderId="13" xfId="44" applyFont="1" applyBorder="1" applyAlignment="1">
      <alignment/>
    </xf>
    <xf numFmtId="44" fontId="0" fillId="0" borderId="14" xfId="44" applyFont="1" applyBorder="1" applyAlignment="1">
      <alignment/>
    </xf>
    <xf numFmtId="44" fontId="0" fillId="0" borderId="15" xfId="44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0" fontId="0" fillId="0" borderId="0" xfId="57" applyNumberFormat="1" applyFont="1" applyFill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right"/>
    </xf>
    <xf numFmtId="0" fontId="44" fillId="0" borderId="1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8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2" fontId="39" fillId="0" borderId="23" xfId="0" applyNumberFormat="1" applyFont="1" applyBorder="1" applyAlignment="1">
      <alignment horizontal="right"/>
    </xf>
    <xf numFmtId="0" fontId="39" fillId="0" borderId="24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25" xfId="0" applyBorder="1" applyAlignment="1">
      <alignment horizontal="center" vertical="center"/>
    </xf>
    <xf numFmtId="10" fontId="0" fillId="0" borderId="25" xfId="57" applyNumberFormat="1" applyFont="1" applyBorder="1" applyAlignment="1">
      <alignment horizontal="right" vertical="center"/>
    </xf>
    <xf numFmtId="164" fontId="0" fillId="0" borderId="26" xfId="0" applyNumberForma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10" fontId="0" fillId="0" borderId="15" xfId="57" applyNumberFormat="1" applyFont="1" applyBorder="1" applyAlignment="1">
      <alignment horizontal="right" vertical="center"/>
    </xf>
    <xf numFmtId="0" fontId="0" fillId="0" borderId="10" xfId="0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41" fillId="0" borderId="0" xfId="0" applyFont="1" applyFill="1" applyBorder="1" applyAlignment="1">
      <alignment horizontal="left" vertical="top" wrapText="1"/>
    </xf>
    <xf numFmtId="0" fontId="39" fillId="0" borderId="0" xfId="0" applyFont="1" applyBorder="1" applyAlignment="1">
      <alignment horizontal="right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horizontal="right" vertical="center"/>
    </xf>
    <xf numFmtId="0" fontId="43" fillId="0" borderId="0" xfId="0" applyFont="1" applyAlignment="1">
      <alignment vertical="top"/>
    </xf>
    <xf numFmtId="0" fontId="4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46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9" xfId="0" applyBorder="1" applyAlignment="1">
      <alignment horizontal="center" wrapText="1"/>
    </xf>
    <xf numFmtId="165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/>
    </xf>
    <xf numFmtId="0" fontId="44" fillId="0" borderId="0" xfId="0" applyFont="1" applyBorder="1" applyAlignment="1">
      <alignment horizontal="right"/>
    </xf>
    <xf numFmtId="0" fontId="44" fillId="0" borderId="27" xfId="0" applyFont="1" applyFill="1" applyBorder="1" applyAlignment="1">
      <alignment horizontal="center"/>
    </xf>
    <xf numFmtId="164" fontId="0" fillId="0" borderId="28" xfId="0" applyNumberForma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164" fontId="0" fillId="0" borderId="29" xfId="0" applyNumberFormat="1" applyBorder="1" applyAlignment="1">
      <alignment horizontal="right" vertical="center"/>
    </xf>
    <xf numFmtId="164" fontId="0" fillId="0" borderId="14" xfId="0" applyNumberFormat="1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10" fontId="0" fillId="0" borderId="30" xfId="57" applyNumberFormat="1" applyFont="1" applyBorder="1" applyAlignment="1">
      <alignment horizontal="right" vertical="center"/>
    </xf>
    <xf numFmtId="164" fontId="0" fillId="0" borderId="31" xfId="0" applyNumberFormat="1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2" fontId="39" fillId="0" borderId="11" xfId="0" applyNumberFormat="1" applyFont="1" applyBorder="1" applyAlignment="1">
      <alignment horizontal="center"/>
    </xf>
    <xf numFmtId="0" fontId="0" fillId="0" borderId="0" xfId="0" applyFont="1" applyFill="1" applyBorder="1" applyAlignment="1" quotePrefix="1">
      <alignment vertical="top" wrapText="1"/>
    </xf>
    <xf numFmtId="0" fontId="0" fillId="0" borderId="0" xfId="0" applyFont="1" applyBorder="1" applyAlignment="1" quotePrefix="1">
      <alignment/>
    </xf>
    <xf numFmtId="0" fontId="0" fillId="0" borderId="0" xfId="0" applyFont="1" applyFill="1" applyBorder="1" applyAlignment="1" quotePrefix="1">
      <alignment wrapText="1"/>
    </xf>
    <xf numFmtId="9" fontId="0" fillId="0" borderId="29" xfId="57" applyFont="1" applyBorder="1" applyAlignment="1">
      <alignment horizontal="center" vertical="center"/>
    </xf>
    <xf numFmtId="9" fontId="0" fillId="0" borderId="14" xfId="57" applyFont="1" applyBorder="1" applyAlignment="1">
      <alignment horizontal="center" vertical="center"/>
    </xf>
    <xf numFmtId="9" fontId="0" fillId="0" borderId="31" xfId="57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9" fontId="0" fillId="0" borderId="13" xfId="57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0" fontId="0" fillId="0" borderId="10" xfId="57" applyNumberFormat="1" applyFont="1" applyBorder="1" applyAlignment="1">
      <alignment horizontal="right" vertical="center"/>
    </xf>
    <xf numFmtId="164" fontId="0" fillId="0" borderId="13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2" fontId="0" fillId="0" borderId="25" xfId="57" applyNumberFormat="1" applyFont="1" applyBorder="1" applyAlignment="1">
      <alignment horizontal="right" vertical="center"/>
    </xf>
    <xf numFmtId="2" fontId="0" fillId="0" borderId="10" xfId="57" applyNumberFormat="1" applyFont="1" applyBorder="1" applyAlignment="1">
      <alignment horizontal="right" vertical="center"/>
    </xf>
    <xf numFmtId="2" fontId="0" fillId="0" borderId="15" xfId="57" applyNumberFormat="1" applyFont="1" applyBorder="1" applyAlignment="1">
      <alignment horizontal="right" vertical="center"/>
    </xf>
    <xf numFmtId="2" fontId="0" fillId="0" borderId="18" xfId="57" applyNumberFormat="1" applyFont="1" applyBorder="1" applyAlignment="1">
      <alignment horizontal="right" vertical="center"/>
    </xf>
    <xf numFmtId="2" fontId="0" fillId="0" borderId="17" xfId="57" applyNumberFormat="1" applyFont="1" applyBorder="1" applyAlignment="1">
      <alignment horizontal="right" vertical="center"/>
    </xf>
    <xf numFmtId="2" fontId="0" fillId="0" borderId="33" xfId="57" applyNumberFormat="1" applyFont="1" applyBorder="1" applyAlignment="1">
      <alignment horizontal="right" vertical="center"/>
    </xf>
    <xf numFmtId="0" fontId="42" fillId="0" borderId="0" xfId="0" applyFont="1" applyBorder="1" applyAlignment="1">
      <alignment horizontal="left"/>
    </xf>
    <xf numFmtId="0" fontId="0" fillId="0" borderId="0" xfId="0" applyFill="1" applyAlignment="1">
      <alignment horizontal="center" textRotation="90" wrapText="1"/>
    </xf>
    <xf numFmtId="0" fontId="0" fillId="0" borderId="0" xfId="0" applyFill="1" applyAlignment="1">
      <alignment/>
    </xf>
    <xf numFmtId="43" fontId="0" fillId="0" borderId="0" xfId="42" applyFont="1" applyFill="1" applyAlignment="1">
      <alignment/>
    </xf>
    <xf numFmtId="4" fontId="47" fillId="0" borderId="0" xfId="0" applyNumberFormat="1" applyFont="1" applyAlignment="1">
      <alignment/>
    </xf>
    <xf numFmtId="3" fontId="0" fillId="0" borderId="0" xfId="0" applyNumberFormat="1" applyFill="1" applyAlignment="1">
      <alignment/>
    </xf>
    <xf numFmtId="0" fontId="0" fillId="0" borderId="2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left"/>
    </xf>
    <xf numFmtId="0" fontId="39" fillId="0" borderId="0" xfId="0" applyFont="1" applyAlignment="1">
      <alignment horizontal="right"/>
    </xf>
    <xf numFmtId="0" fontId="39" fillId="0" borderId="34" xfId="0" applyFont="1" applyBorder="1" applyAlignment="1">
      <alignment horizontal="right"/>
    </xf>
    <xf numFmtId="0" fontId="46" fillId="0" borderId="27" xfId="0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46" fillId="0" borderId="35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39" fillId="0" borderId="0" xfId="0" applyFont="1" applyBorder="1" applyAlignment="1">
      <alignment horizontal="right"/>
    </xf>
    <xf numFmtId="0" fontId="41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 quotePrefix="1">
      <alignment horizontal="left" vertical="top" wrapText="1"/>
    </xf>
    <xf numFmtId="0" fontId="0" fillId="0" borderId="0" xfId="0" applyFont="1" applyBorder="1" applyAlignment="1" quotePrefix="1">
      <alignment horizontal="left"/>
    </xf>
    <xf numFmtId="0" fontId="0" fillId="0" borderId="0" xfId="0" applyFont="1" applyFill="1" applyBorder="1" applyAlignment="1" quotePrefix="1">
      <alignment horizontal="left" wrapText="1"/>
    </xf>
    <xf numFmtId="0" fontId="0" fillId="0" borderId="0" xfId="0" applyFont="1" applyAlignment="1">
      <alignment horizontal="left" wrapText="1"/>
    </xf>
    <xf numFmtId="0" fontId="0" fillId="0" borderId="38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9" xfId="0" applyBorder="1" applyAlignment="1">
      <alignment horizontal="left"/>
    </xf>
    <xf numFmtId="44" fontId="0" fillId="0" borderId="38" xfId="44" applyFont="1" applyFill="1" applyBorder="1" applyAlignment="1">
      <alignment horizontal="center"/>
    </xf>
    <xf numFmtId="44" fontId="0" fillId="0" borderId="39" xfId="44" applyFont="1" applyFill="1" applyBorder="1" applyAlignment="1">
      <alignment horizontal="center"/>
    </xf>
    <xf numFmtId="0" fontId="0" fillId="0" borderId="40" xfId="0" applyFont="1" applyBorder="1" applyAlignment="1">
      <alignment horizontal="left" wrapText="1"/>
    </xf>
    <xf numFmtId="0" fontId="0" fillId="0" borderId="41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43" xfId="0" applyFont="1" applyBorder="1" applyAlignment="1">
      <alignment horizontal="left" wrapText="1"/>
    </xf>
    <xf numFmtId="0" fontId="0" fillId="0" borderId="27" xfId="0" applyFont="1" applyBorder="1" applyAlignment="1">
      <alignment horizontal="left" wrapText="1"/>
    </xf>
    <xf numFmtId="0" fontId="0" fillId="0" borderId="44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0" fillId="0" borderId="25" xfId="0" applyFont="1" applyBorder="1" applyAlignment="1">
      <alignment horizontal="left" wrapText="1"/>
    </xf>
    <xf numFmtId="0" fontId="0" fillId="0" borderId="37" xfId="0" applyFont="1" applyBorder="1" applyAlignment="1">
      <alignment horizontal="left" wrapText="1"/>
    </xf>
    <xf numFmtId="0" fontId="0" fillId="0" borderId="45" xfId="0" applyBorder="1" applyAlignment="1">
      <alignment horizontal="left" wrapText="1"/>
    </xf>
    <xf numFmtId="0" fontId="0" fillId="0" borderId="46" xfId="0" applyBorder="1" applyAlignment="1">
      <alignment horizontal="left" wrapText="1"/>
    </xf>
    <xf numFmtId="0" fontId="0" fillId="0" borderId="47" xfId="0" applyBorder="1" applyAlignment="1">
      <alignment horizontal="left" wrapText="1"/>
    </xf>
    <xf numFmtId="0" fontId="0" fillId="0" borderId="0" xfId="0" applyAlignment="1">
      <alignment horizontal="center" wrapText="1"/>
    </xf>
    <xf numFmtId="0" fontId="39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6"/>
  <sheetViews>
    <sheetView tabSelected="1" zoomScale="115" zoomScaleNormal="115" zoomScaleSheetLayoutView="145" zoomScalePageLayoutView="115" workbookViewId="0" topLeftCell="A1">
      <selection activeCell="E25" sqref="E25"/>
    </sheetView>
  </sheetViews>
  <sheetFormatPr defaultColWidth="9.140625" defaultRowHeight="15"/>
  <cols>
    <col min="1" max="1" width="11.00390625" style="0" customWidth="1"/>
    <col min="2" max="2" width="13.421875" style="0" customWidth="1"/>
    <col min="3" max="3" width="10.00390625" style="0" customWidth="1"/>
    <col min="4" max="4" width="11.00390625" style="0" customWidth="1"/>
    <col min="5" max="5" width="9.140625" style="0" customWidth="1"/>
    <col min="6" max="6" width="9.57421875" style="0" customWidth="1"/>
  </cols>
  <sheetData>
    <row r="1" s="17" customFormat="1" ht="15"/>
    <row r="2" spans="5:12" ht="18.75">
      <c r="E2" s="68" t="s">
        <v>158</v>
      </c>
      <c r="F2" s="69"/>
      <c r="G2" s="66"/>
      <c r="H2" s="64"/>
      <c r="I2" s="66"/>
      <c r="J2" s="64"/>
      <c r="K2" s="66"/>
      <c r="L2" s="10"/>
    </row>
    <row r="3" spans="5:12" ht="15">
      <c r="E3" s="67"/>
      <c r="F3" s="10"/>
      <c r="G3" s="10"/>
      <c r="H3" s="10"/>
      <c r="I3" s="10"/>
      <c r="J3" s="10"/>
      <c r="K3" s="10"/>
      <c r="L3" s="10"/>
    </row>
    <row r="4" ht="18.75">
      <c r="A4" s="33" t="s">
        <v>97</v>
      </c>
    </row>
    <row r="5" spans="1:4" ht="15">
      <c r="A5" s="8" t="s">
        <v>98</v>
      </c>
      <c r="B5" s="62"/>
      <c r="C5" s="8" t="s">
        <v>99</v>
      </c>
      <c r="D5" s="62" t="str">
        <f>IF(B5="Yes","No",IF(B5=0," ","Yes"))</f>
        <v> </v>
      </c>
    </row>
    <row r="7" ht="18.75">
      <c r="A7" s="33" t="s">
        <v>108</v>
      </c>
    </row>
    <row r="8" ht="15">
      <c r="A8" s="59" t="s">
        <v>145</v>
      </c>
    </row>
    <row r="9" spans="1:6" ht="15">
      <c r="A9" s="129" t="s">
        <v>165</v>
      </c>
      <c r="B9" s="130"/>
      <c r="C9" s="130"/>
      <c r="D9" s="131"/>
      <c r="E9" s="132" t="s">
        <v>153</v>
      </c>
      <c r="F9" s="133"/>
    </row>
    <row r="10" spans="2:10" s="19" customFormat="1" ht="15">
      <c r="B10" s="128" t="s">
        <v>104</v>
      </c>
      <c r="C10" s="128"/>
      <c r="D10" s="128"/>
      <c r="E10" s="128"/>
      <c r="F10" s="128"/>
      <c r="G10" s="128"/>
      <c r="H10" s="128"/>
      <c r="I10" s="128"/>
      <c r="J10" s="128"/>
    </row>
    <row r="11" spans="2:10" s="19" customFormat="1" ht="15">
      <c r="B11" s="128" t="s">
        <v>176</v>
      </c>
      <c r="C11" s="128"/>
      <c r="D11" s="128"/>
      <c r="E11" s="128"/>
      <c r="F11" s="128"/>
      <c r="G11" s="128"/>
      <c r="H11" s="128"/>
      <c r="I11" s="128"/>
      <c r="J11" s="128"/>
    </row>
    <row r="12" spans="2:10" s="19" customFormat="1" ht="15">
      <c r="B12" s="128" t="s">
        <v>175</v>
      </c>
      <c r="C12" s="128"/>
      <c r="D12" s="128"/>
      <c r="E12" s="128"/>
      <c r="F12" s="128"/>
      <c r="G12" s="128"/>
      <c r="H12" s="128"/>
      <c r="I12" s="128"/>
      <c r="J12" s="128"/>
    </row>
    <row r="14" ht="15">
      <c r="A14" t="s">
        <v>170</v>
      </c>
    </row>
    <row r="15" spans="1:8" s="7" customFormat="1" ht="15" customHeight="1">
      <c r="A15" s="12"/>
      <c r="B15" s="15" t="s">
        <v>171</v>
      </c>
      <c r="C15" s="9"/>
      <c r="D15" s="14"/>
      <c r="E15" s="14"/>
      <c r="F15" s="14"/>
      <c r="G15" s="13"/>
      <c r="H15" s="12"/>
    </row>
    <row r="16" spans="2:11" ht="15">
      <c r="B16" s="11" t="s">
        <v>159</v>
      </c>
      <c r="C16" s="129" t="s">
        <v>148</v>
      </c>
      <c r="D16" s="130"/>
      <c r="E16" s="130"/>
      <c r="F16" s="130"/>
      <c r="G16" s="130"/>
      <c r="H16" s="131"/>
      <c r="I16" s="52"/>
      <c r="J16" s="10" t="s">
        <v>100</v>
      </c>
      <c r="K16" s="10"/>
    </row>
    <row r="17" spans="1:12" s="17" customFormat="1" ht="29.25" customHeight="1">
      <c r="A17" s="45"/>
      <c r="B17" s="21"/>
      <c r="C17" s="125" t="s">
        <v>169</v>
      </c>
      <c r="D17" s="125"/>
      <c r="E17" s="125"/>
      <c r="F17" s="125"/>
      <c r="G17" s="125"/>
      <c r="H17" s="125"/>
      <c r="I17" s="125"/>
      <c r="J17" s="125"/>
      <c r="K17" s="79"/>
      <c r="L17" s="79"/>
    </row>
    <row r="18" spans="1:12" s="17" customFormat="1" ht="29.25" customHeight="1">
      <c r="A18" s="45"/>
      <c r="B18" s="21"/>
      <c r="C18" s="125" t="s">
        <v>168</v>
      </c>
      <c r="D18" s="125"/>
      <c r="E18" s="125"/>
      <c r="F18" s="125"/>
      <c r="G18" s="125"/>
      <c r="H18" s="125"/>
      <c r="I18" s="125"/>
      <c r="J18" s="125"/>
      <c r="K18" s="79"/>
      <c r="L18" s="79"/>
    </row>
    <row r="19" spans="2:11" ht="15">
      <c r="B19" s="11" t="s">
        <v>160</v>
      </c>
      <c r="C19" s="129" t="s">
        <v>149</v>
      </c>
      <c r="D19" s="130"/>
      <c r="E19" s="130"/>
      <c r="F19" s="130"/>
      <c r="G19" s="130"/>
      <c r="H19" s="131"/>
      <c r="I19" s="52">
        <f>100-I16</f>
        <v>100</v>
      </c>
      <c r="J19" s="10" t="s">
        <v>100</v>
      </c>
      <c r="K19" s="10"/>
    </row>
    <row r="20" spans="1:12" s="17" customFormat="1" ht="15">
      <c r="A20" s="45"/>
      <c r="B20" s="21"/>
      <c r="C20" s="126" t="s">
        <v>105</v>
      </c>
      <c r="D20" s="126"/>
      <c r="E20" s="126"/>
      <c r="F20" s="126"/>
      <c r="G20" s="126"/>
      <c r="H20" s="126"/>
      <c r="I20" s="126"/>
      <c r="J20" s="126"/>
      <c r="K20" s="80"/>
      <c r="L20" s="80"/>
    </row>
    <row r="21" spans="1:12" s="17" customFormat="1" ht="15" customHeight="1">
      <c r="A21" s="45"/>
      <c r="B21" s="21"/>
      <c r="C21" s="127" t="s">
        <v>106</v>
      </c>
      <c r="D21" s="127"/>
      <c r="E21" s="127"/>
      <c r="F21" s="127"/>
      <c r="G21" s="127"/>
      <c r="H21" s="127"/>
      <c r="I21" s="127"/>
      <c r="J21" s="127"/>
      <c r="K21" s="81"/>
      <c r="L21" s="81"/>
    </row>
    <row r="22" spans="1:11" ht="15" customHeight="1">
      <c r="A22" s="10"/>
      <c r="B22" s="60" t="s">
        <v>107</v>
      </c>
      <c r="C22" s="124" t="s">
        <v>120</v>
      </c>
      <c r="D22" s="124"/>
      <c r="E22" s="124"/>
      <c r="F22" s="124"/>
      <c r="G22" s="124"/>
      <c r="H22" s="124"/>
      <c r="I22" s="124"/>
      <c r="J22" s="124"/>
      <c r="K22" s="55"/>
    </row>
    <row r="23" spans="2:11" ht="15">
      <c r="B23" s="16"/>
      <c r="C23" s="124"/>
      <c r="D23" s="124"/>
      <c r="E23" s="124"/>
      <c r="F23" s="124"/>
      <c r="G23" s="124"/>
      <c r="H23" s="124"/>
      <c r="I23" s="124"/>
      <c r="J23" s="124"/>
      <c r="K23" s="55"/>
    </row>
    <row r="24" spans="2:11" ht="15">
      <c r="B24" s="16"/>
      <c r="C24" s="124"/>
      <c r="D24" s="124"/>
      <c r="E24" s="124"/>
      <c r="F24" s="124"/>
      <c r="G24" s="124"/>
      <c r="H24" s="124"/>
      <c r="I24" s="124"/>
      <c r="J24" s="124"/>
      <c r="K24" s="55"/>
    </row>
    <row r="25" s="7" customFormat="1" ht="15"/>
    <row r="26" ht="18.75">
      <c r="A26" s="33" t="s">
        <v>109</v>
      </c>
    </row>
    <row r="28" ht="15.75" thickBot="1">
      <c r="A28" t="s">
        <v>172</v>
      </c>
    </row>
    <row r="29" spans="3:5" ht="15">
      <c r="C29" s="103" t="s">
        <v>177</v>
      </c>
      <c r="D29" s="104"/>
      <c r="E29" s="37" t="s">
        <v>103</v>
      </c>
    </row>
    <row r="30" spans="3:5" ht="15">
      <c r="C30" s="105" t="s">
        <v>110</v>
      </c>
      <c r="D30" s="106"/>
      <c r="E30" s="26">
        <v>6</v>
      </c>
    </row>
    <row r="31" spans="3:5" ht="15.75" thickBot="1">
      <c r="C31" s="105" t="s">
        <v>134</v>
      </c>
      <c r="D31" s="106"/>
      <c r="E31" s="26">
        <v>3</v>
      </c>
    </row>
    <row r="32" spans="3:10" ht="15.75" thickBot="1">
      <c r="C32" s="112" t="s">
        <v>135</v>
      </c>
      <c r="D32" s="113"/>
      <c r="E32" s="31">
        <v>0</v>
      </c>
      <c r="H32" s="107" t="s">
        <v>113</v>
      </c>
      <c r="I32" s="108"/>
      <c r="J32" s="23">
        <f>IF(E9&lt;=Costs!B3,Costs!C3,IF(E9&lt;=Costs!B4,Costs!C4,Costs!C5))</f>
        <v>0</v>
      </c>
    </row>
    <row r="34" ht="15.75" thickBot="1">
      <c r="A34" t="s">
        <v>164</v>
      </c>
    </row>
    <row r="35" spans="2:11" ht="45.75" thickBot="1">
      <c r="B35" s="114" t="s">
        <v>173</v>
      </c>
      <c r="C35" s="115"/>
      <c r="D35" s="116"/>
      <c r="E35" s="39" t="s">
        <v>174</v>
      </c>
      <c r="F35" s="40" t="s">
        <v>101</v>
      </c>
      <c r="G35" s="40" t="s">
        <v>102</v>
      </c>
      <c r="H35" s="41" t="s">
        <v>144</v>
      </c>
      <c r="I35" s="39" t="s">
        <v>121</v>
      </c>
      <c r="J35" s="42" t="s">
        <v>122</v>
      </c>
      <c r="K35" s="57"/>
    </row>
    <row r="36" spans="2:11" ht="30" customHeight="1">
      <c r="B36" s="120" t="s">
        <v>161</v>
      </c>
      <c r="C36" s="121"/>
      <c r="D36" s="122"/>
      <c r="E36" s="82">
        <f>I16/100</f>
        <v>0</v>
      </c>
      <c r="F36" s="46" t="e">
        <f>VLOOKUP($F$2,Guardrail!$A:$P,10,FALSE)</f>
        <v>#N/A</v>
      </c>
      <c r="G36" s="47" t="e">
        <f>VLOOKUP($F$2,Guardrail!$A:$P,9,FALSE)</f>
        <v>#N/A</v>
      </c>
      <c r="H36" s="94">
        <v>1</v>
      </c>
      <c r="I36" s="48" t="e">
        <f>(1+G36)*F36*E36/2*H36</f>
        <v>#N/A</v>
      </c>
      <c r="J36" s="49">
        <f>88*E36</f>
        <v>0</v>
      </c>
      <c r="K36" s="58"/>
    </row>
    <row r="37" spans="2:11" ht="15.75" thickBot="1">
      <c r="B37" s="117" t="s">
        <v>162</v>
      </c>
      <c r="C37" s="118"/>
      <c r="D37" s="119"/>
      <c r="E37" s="83">
        <f>I19/100</f>
        <v>1</v>
      </c>
      <c r="F37" s="50" t="e">
        <f>VLOOKUP($F$2,Guardrail!$A:$P,16,FALSE)</f>
        <v>#N/A</v>
      </c>
      <c r="G37" s="51" t="e">
        <f>VLOOKUP($F$2,Guardrail!$A:$P,15,FALSE)</f>
        <v>#N/A</v>
      </c>
      <c r="H37" s="95">
        <v>0.6</v>
      </c>
      <c r="I37" s="70" t="e">
        <f>(1+G37)*F37*E37/2*H37</f>
        <v>#N/A</v>
      </c>
      <c r="J37" s="71">
        <f>88*E37</f>
        <v>88</v>
      </c>
      <c r="K37" s="58"/>
    </row>
    <row r="38" spans="7:11" ht="15.75" thickBot="1">
      <c r="G38" s="123" t="s">
        <v>116</v>
      </c>
      <c r="H38" s="123"/>
      <c r="I38" s="43" t="e">
        <f>SUM(I36:I37)</f>
        <v>#N/A</v>
      </c>
      <c r="J38" s="44">
        <f>SUM(J36:J37)</f>
        <v>88</v>
      </c>
      <c r="K38" s="56"/>
    </row>
    <row r="39" spans="2:9" ht="15.75" thickBot="1">
      <c r="B39" s="110" t="s">
        <v>178</v>
      </c>
      <c r="C39" s="110"/>
      <c r="D39" s="110"/>
      <c r="E39" s="110"/>
      <c r="I39" s="10"/>
    </row>
    <row r="40" spans="2:10" ht="15.75" thickBot="1">
      <c r="B40" s="110"/>
      <c r="C40" s="110"/>
      <c r="D40" s="110"/>
      <c r="E40" s="110"/>
      <c r="H40" s="107" t="s">
        <v>113</v>
      </c>
      <c r="I40" s="107"/>
      <c r="J40" s="78" t="e">
        <f>ROUND(I38,2)</f>
        <v>#N/A</v>
      </c>
    </row>
    <row r="41" ht="15.75" thickBot="1"/>
    <row r="42" spans="5:6" ht="19.5" thickBot="1">
      <c r="E42" s="34" t="s">
        <v>117</v>
      </c>
      <c r="F42" s="35" t="e">
        <f>SUM(J40,J32)</f>
        <v>#N/A</v>
      </c>
    </row>
    <row r="45" spans="3:12" ht="21">
      <c r="C45" s="36" t="s">
        <v>119</v>
      </c>
      <c r="D45" s="109"/>
      <c r="E45" s="109"/>
      <c r="F45" s="109"/>
      <c r="G45" s="109"/>
      <c r="H45" s="109"/>
      <c r="I45" s="109"/>
      <c r="J45" s="109"/>
      <c r="K45" s="63"/>
      <c r="L45" s="63"/>
    </row>
    <row r="46" spans="3:12" ht="21">
      <c r="C46" s="36" t="s">
        <v>118</v>
      </c>
      <c r="D46" s="111"/>
      <c r="E46" s="111"/>
      <c r="F46" s="111"/>
      <c r="G46" s="111"/>
      <c r="H46" s="111"/>
      <c r="I46" s="111"/>
      <c r="J46" s="111"/>
      <c r="K46" s="63"/>
      <c r="L46" s="63"/>
    </row>
  </sheetData>
  <sheetProtection/>
  <mergeCells count="25">
    <mergeCell ref="B11:J11"/>
    <mergeCell ref="B10:J10"/>
    <mergeCell ref="A9:D9"/>
    <mergeCell ref="E9:F9"/>
    <mergeCell ref="C16:H16"/>
    <mergeCell ref="C19:H19"/>
    <mergeCell ref="C22:J24"/>
    <mergeCell ref="C18:J18"/>
    <mergeCell ref="C17:J17"/>
    <mergeCell ref="C20:J20"/>
    <mergeCell ref="C21:J21"/>
    <mergeCell ref="B12:J12"/>
    <mergeCell ref="D46:J46"/>
    <mergeCell ref="C31:D31"/>
    <mergeCell ref="C32:D32"/>
    <mergeCell ref="B35:D35"/>
    <mergeCell ref="B37:D37"/>
    <mergeCell ref="B36:D36"/>
    <mergeCell ref="G38:H38"/>
    <mergeCell ref="C29:D29"/>
    <mergeCell ref="C30:D30"/>
    <mergeCell ref="H32:I32"/>
    <mergeCell ref="H40:I40"/>
    <mergeCell ref="D45:J45"/>
    <mergeCell ref="B39:E40"/>
  </mergeCells>
  <conditionalFormatting sqref="F2">
    <cfRule type="cellIs" priority="7" dxfId="0" operator="equal">
      <formula>0</formula>
    </cfRule>
  </conditionalFormatting>
  <conditionalFormatting sqref="B5 E9:F9 I16">
    <cfRule type="cellIs" priority="5" dxfId="0" operator="equal">
      <formula>0</formula>
    </cfRule>
  </conditionalFormatting>
  <conditionalFormatting sqref="E9:F9">
    <cfRule type="cellIs" priority="4" dxfId="0" operator="equal">
      <formula>"$"</formula>
    </cfRule>
  </conditionalFormatting>
  <dataValidations count="2">
    <dataValidation type="list" allowBlank="1" showInputMessage="1" showErrorMessage="1" sqref="F2">
      <formula1>County</formula1>
    </dataValidation>
    <dataValidation type="list" allowBlank="1" showInputMessage="1" showErrorMessage="1" sqref="B5">
      <formula1>Select</formula1>
    </dataValidation>
  </dataValidations>
  <printOptions horizontalCentered="1"/>
  <pageMargins left="0.7" right="0.7" top="0.75" bottom="0.75" header="0.3" footer="0.3"/>
  <pageSetup fitToHeight="1" fitToWidth="1" horizontalDpi="600" verticalDpi="600" orientation="portrait" scale="86" r:id="rId2"/>
  <headerFooter>
    <oddHeader>&amp;L&amp;G&amp;C&amp;"-,Bold"&amp;20Guardrail Funding Application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zoomScale="115" zoomScaleNormal="115" zoomScaleSheetLayoutView="145" workbookViewId="0" topLeftCell="A1">
      <selection activeCell="A1" sqref="A1"/>
    </sheetView>
  </sheetViews>
  <sheetFormatPr defaultColWidth="9.140625" defaultRowHeight="15"/>
  <cols>
    <col min="1" max="1" width="11.00390625" style="0" customWidth="1"/>
    <col min="2" max="2" width="13.421875" style="0" customWidth="1"/>
    <col min="3" max="3" width="10.00390625" style="0" customWidth="1"/>
    <col min="4" max="4" width="11.00390625" style="0" customWidth="1"/>
    <col min="5" max="5" width="10.8515625" style="0" customWidth="1"/>
    <col min="6" max="6" width="12.57421875" style="0" customWidth="1"/>
  </cols>
  <sheetData>
    <row r="1" s="17" customFormat="1" ht="15">
      <c r="C1" s="24"/>
    </row>
    <row r="2" spans="4:6" ht="18.75">
      <c r="D2" s="53"/>
      <c r="E2" s="68" t="s">
        <v>158</v>
      </c>
      <c r="F2" s="69"/>
    </row>
    <row r="4" ht="18.75">
      <c r="A4" s="33" t="s">
        <v>97</v>
      </c>
    </row>
    <row r="5" spans="1:4" ht="15">
      <c r="A5" s="8" t="s">
        <v>98</v>
      </c>
      <c r="B5" s="62"/>
      <c r="C5" s="8" t="s">
        <v>99</v>
      </c>
      <c r="D5" s="62" t="str">
        <f>IF(B5="Yes","No",IF(B5=0," ","Yes"))</f>
        <v> </v>
      </c>
    </row>
    <row r="7" ht="18.75">
      <c r="A7" s="33" t="s">
        <v>108</v>
      </c>
    </row>
    <row r="8" ht="15">
      <c r="A8" s="85" t="s">
        <v>146</v>
      </c>
    </row>
    <row r="9" spans="1:6" ht="15">
      <c r="A9" s="129" t="s">
        <v>166</v>
      </c>
      <c r="B9" s="130"/>
      <c r="C9" s="130"/>
      <c r="D9" s="131"/>
      <c r="E9" s="132" t="s">
        <v>153</v>
      </c>
      <c r="F9" s="133"/>
    </row>
    <row r="10" spans="2:10" s="19" customFormat="1" ht="15">
      <c r="B10" s="128" t="s">
        <v>104</v>
      </c>
      <c r="C10" s="128"/>
      <c r="D10" s="128"/>
      <c r="E10" s="128"/>
      <c r="F10" s="128"/>
      <c r="G10" s="128"/>
      <c r="H10" s="128"/>
      <c r="I10" s="128"/>
      <c r="J10" s="128"/>
    </row>
    <row r="11" spans="2:10" s="19" customFormat="1" ht="15" customHeight="1">
      <c r="B11" s="128" t="s">
        <v>176</v>
      </c>
      <c r="C11" s="128"/>
      <c r="D11" s="128"/>
      <c r="E11" s="128"/>
      <c r="F11" s="128"/>
      <c r="G11" s="128"/>
      <c r="H11" s="128"/>
      <c r="I11" s="128"/>
      <c r="J11" s="128"/>
    </row>
    <row r="12" spans="2:10" s="19" customFormat="1" ht="15">
      <c r="B12" s="128" t="s">
        <v>175</v>
      </c>
      <c r="C12" s="128"/>
      <c r="D12" s="128"/>
      <c r="E12" s="128"/>
      <c r="F12" s="128"/>
      <c r="G12" s="128"/>
      <c r="H12" s="128"/>
      <c r="I12" s="128"/>
      <c r="J12" s="128"/>
    </row>
    <row r="14" ht="15">
      <c r="A14" t="s">
        <v>170</v>
      </c>
    </row>
    <row r="15" spans="1:8" s="7" customFormat="1" ht="15" customHeight="1">
      <c r="A15" s="12"/>
      <c r="B15" s="15" t="s">
        <v>171</v>
      </c>
      <c r="C15" s="9"/>
      <c r="D15" s="14"/>
      <c r="E15" s="14"/>
      <c r="F15" s="14"/>
      <c r="G15" s="13"/>
      <c r="H15" s="12"/>
    </row>
    <row r="16" spans="2:9" ht="15">
      <c r="B16" s="11" t="s">
        <v>159</v>
      </c>
      <c r="C16" s="129" t="s">
        <v>124</v>
      </c>
      <c r="D16" s="130"/>
      <c r="E16" s="130"/>
      <c r="F16" s="130"/>
      <c r="G16" s="131"/>
      <c r="H16" s="52"/>
      <c r="I16" s="10" t="s">
        <v>100</v>
      </c>
    </row>
    <row r="17" spans="1:12" s="18" customFormat="1" ht="15">
      <c r="A17" s="22"/>
      <c r="B17" s="20"/>
      <c r="C17" s="127" t="s">
        <v>126</v>
      </c>
      <c r="D17" s="127"/>
      <c r="E17" s="127"/>
      <c r="F17" s="127"/>
      <c r="G17" s="127"/>
      <c r="H17" s="127"/>
      <c r="I17" s="127"/>
      <c r="J17" s="127"/>
      <c r="K17" s="81"/>
      <c r="L17" s="81"/>
    </row>
    <row r="18" spans="1:12" s="18" customFormat="1" ht="15">
      <c r="A18" s="22"/>
      <c r="B18" s="11" t="s">
        <v>160</v>
      </c>
      <c r="C18" s="129" t="s">
        <v>179</v>
      </c>
      <c r="D18" s="130"/>
      <c r="E18" s="130"/>
      <c r="F18" s="130"/>
      <c r="G18" s="131"/>
      <c r="H18" s="52"/>
      <c r="I18" s="10" t="s">
        <v>100</v>
      </c>
      <c r="J18"/>
      <c r="K18" s="81"/>
      <c r="L18" s="81"/>
    </row>
    <row r="19" spans="1:12" s="18" customFormat="1" ht="15">
      <c r="A19" s="22"/>
      <c r="B19" s="20"/>
      <c r="C19" s="127" t="s">
        <v>181</v>
      </c>
      <c r="D19" s="127"/>
      <c r="E19" s="127"/>
      <c r="F19" s="127"/>
      <c r="G19" s="127"/>
      <c r="H19" s="127"/>
      <c r="I19" s="127"/>
      <c r="J19" s="127"/>
      <c r="K19" s="81"/>
      <c r="L19" s="81"/>
    </row>
    <row r="20" spans="1:12" s="18" customFormat="1" ht="15">
      <c r="A20" s="22"/>
      <c r="B20" s="20"/>
      <c r="C20" s="125" t="s">
        <v>186</v>
      </c>
      <c r="D20" s="125"/>
      <c r="E20" s="125"/>
      <c r="F20" s="125"/>
      <c r="G20" s="125"/>
      <c r="H20" s="125"/>
      <c r="I20" s="125"/>
      <c r="J20" s="125"/>
      <c r="K20" s="81"/>
      <c r="L20" s="81"/>
    </row>
    <row r="21" spans="1:12" s="18" customFormat="1" ht="15">
      <c r="A21" s="22"/>
      <c r="B21" s="20"/>
      <c r="C21" s="125"/>
      <c r="D21" s="125"/>
      <c r="E21" s="125"/>
      <c r="F21" s="125"/>
      <c r="G21" s="125"/>
      <c r="H21" s="125"/>
      <c r="I21" s="125"/>
      <c r="J21" s="125"/>
      <c r="K21" s="81"/>
      <c r="L21" s="81"/>
    </row>
    <row r="22" spans="1:12" s="18" customFormat="1" ht="15">
      <c r="A22" s="97"/>
      <c r="B22" s="97"/>
      <c r="C22" s="125" t="s">
        <v>185</v>
      </c>
      <c r="D22" s="125"/>
      <c r="E22" s="125"/>
      <c r="F22" s="125"/>
      <c r="G22" s="125"/>
      <c r="H22" s="125"/>
      <c r="I22" s="125"/>
      <c r="J22" s="125"/>
      <c r="K22" s="81"/>
      <c r="L22" s="81"/>
    </row>
    <row r="23" spans="1:12" s="18" customFormat="1" ht="15">
      <c r="A23" s="97"/>
      <c r="B23" s="97"/>
      <c r="C23" s="125" t="s">
        <v>187</v>
      </c>
      <c r="D23" s="125"/>
      <c r="E23" s="125"/>
      <c r="F23" s="125"/>
      <c r="G23" s="125"/>
      <c r="H23" s="125"/>
      <c r="I23" s="125"/>
      <c r="J23" s="125"/>
      <c r="K23" s="81"/>
      <c r="L23" s="81"/>
    </row>
    <row r="24" spans="2:9" ht="15">
      <c r="B24" s="11" t="s">
        <v>183</v>
      </c>
      <c r="C24" s="129" t="s">
        <v>125</v>
      </c>
      <c r="D24" s="130"/>
      <c r="E24" s="130"/>
      <c r="F24" s="130"/>
      <c r="G24" s="131"/>
      <c r="H24" s="52"/>
      <c r="I24" s="10" t="s">
        <v>100</v>
      </c>
    </row>
    <row r="25" spans="1:12" s="18" customFormat="1" ht="15">
      <c r="A25" s="22"/>
      <c r="B25" s="20"/>
      <c r="C25" s="127" t="s">
        <v>139</v>
      </c>
      <c r="D25" s="127"/>
      <c r="E25" s="127"/>
      <c r="F25" s="127"/>
      <c r="G25" s="127"/>
      <c r="H25" s="127"/>
      <c r="I25" s="127"/>
      <c r="J25" s="127"/>
      <c r="K25" s="81"/>
      <c r="L25" s="81"/>
    </row>
    <row r="26" spans="1:12" s="18" customFormat="1" ht="15">
      <c r="A26" s="22"/>
      <c r="B26" s="11" t="s">
        <v>184</v>
      </c>
      <c r="C26" s="129" t="s">
        <v>180</v>
      </c>
      <c r="D26" s="130"/>
      <c r="E26" s="130"/>
      <c r="F26" s="130"/>
      <c r="G26" s="131"/>
      <c r="H26" s="52">
        <f>IF(H16="","",100-H18-H24-H16)</f>
      </c>
      <c r="I26" s="10" t="s">
        <v>100</v>
      </c>
      <c r="J26"/>
      <c r="K26" s="81"/>
      <c r="L26" s="81"/>
    </row>
    <row r="27" spans="1:12" s="18" customFormat="1" ht="15">
      <c r="A27" s="22"/>
      <c r="B27" s="20"/>
      <c r="C27" s="127" t="s">
        <v>182</v>
      </c>
      <c r="D27" s="127"/>
      <c r="E27" s="127"/>
      <c r="F27" s="127"/>
      <c r="G27" s="127"/>
      <c r="H27" s="127"/>
      <c r="I27" s="127"/>
      <c r="J27" s="127"/>
      <c r="K27" s="81"/>
      <c r="L27" s="81"/>
    </row>
    <row r="28" spans="1:11" ht="15" customHeight="1">
      <c r="A28" s="10"/>
      <c r="B28" s="60" t="s">
        <v>107</v>
      </c>
      <c r="C28" s="124" t="s">
        <v>127</v>
      </c>
      <c r="D28" s="124"/>
      <c r="E28" s="124"/>
      <c r="F28" s="124"/>
      <c r="G28" s="124"/>
      <c r="H28" s="124"/>
      <c r="I28" s="124"/>
      <c r="J28" s="124"/>
      <c r="K28" s="55"/>
    </row>
    <row r="29" spans="2:11" ht="15">
      <c r="B29" s="16"/>
      <c r="C29" s="124"/>
      <c r="D29" s="124"/>
      <c r="E29" s="124"/>
      <c r="F29" s="124"/>
      <c r="G29" s="124"/>
      <c r="H29" s="124"/>
      <c r="I29" s="124"/>
      <c r="J29" s="124"/>
      <c r="K29" s="55"/>
    </row>
    <row r="30" spans="2:11" ht="15">
      <c r="B30" s="16"/>
      <c r="C30" s="124"/>
      <c r="D30" s="124"/>
      <c r="E30" s="124"/>
      <c r="F30" s="124"/>
      <c r="G30" s="124"/>
      <c r="H30" s="124"/>
      <c r="I30" s="124"/>
      <c r="J30" s="124"/>
      <c r="K30" s="55"/>
    </row>
    <row r="31" s="7" customFormat="1" ht="15"/>
    <row r="32" ht="18.75">
      <c r="A32" s="33" t="s">
        <v>143</v>
      </c>
    </row>
    <row r="34" ht="15.75" thickBot="1">
      <c r="A34" t="s">
        <v>172</v>
      </c>
    </row>
    <row r="35" spans="3:5" ht="15">
      <c r="C35" s="103" t="s">
        <v>177</v>
      </c>
      <c r="D35" s="104"/>
      <c r="E35" s="37" t="s">
        <v>103</v>
      </c>
    </row>
    <row r="36" spans="3:5" ht="15">
      <c r="C36" s="105" t="s">
        <v>131</v>
      </c>
      <c r="D36" s="106"/>
      <c r="E36" s="26">
        <v>6</v>
      </c>
    </row>
    <row r="37" spans="3:5" ht="15.75" thickBot="1">
      <c r="C37" s="105" t="s">
        <v>133</v>
      </c>
      <c r="D37" s="106"/>
      <c r="E37" s="26">
        <v>3</v>
      </c>
    </row>
    <row r="38" spans="3:10" ht="15.75" thickBot="1">
      <c r="C38" s="112" t="s">
        <v>132</v>
      </c>
      <c r="D38" s="113"/>
      <c r="E38" s="31">
        <v>0</v>
      </c>
      <c r="H38" s="107" t="s">
        <v>113</v>
      </c>
      <c r="I38" s="107"/>
      <c r="J38" s="23">
        <f>IF(E9&lt;=Costs!B9,Costs!C9,IF(E9&lt;=Costs!B10,Costs!C10,Costs!C11))</f>
        <v>0</v>
      </c>
    </row>
    <row r="39" spans="3:4" ht="15">
      <c r="C39" s="137"/>
      <c r="D39" s="137"/>
    </row>
    <row r="41" ht="15.75" thickBot="1">
      <c r="A41" t="s">
        <v>164</v>
      </c>
    </row>
    <row r="42" spans="2:11" ht="45.75" thickBot="1">
      <c r="B42" s="114" t="s">
        <v>173</v>
      </c>
      <c r="C42" s="115"/>
      <c r="D42" s="116"/>
      <c r="E42" s="65" t="s">
        <v>174</v>
      </c>
      <c r="F42" s="40" t="s">
        <v>101</v>
      </c>
      <c r="G42" s="40" t="s">
        <v>102</v>
      </c>
      <c r="H42" s="40" t="s">
        <v>144</v>
      </c>
      <c r="I42" s="39" t="s">
        <v>121</v>
      </c>
      <c r="J42" s="42" t="s">
        <v>122</v>
      </c>
      <c r="K42" s="57"/>
    </row>
    <row r="43" spans="2:11" ht="15">
      <c r="B43" s="141" t="str">
        <f>B16&amp;" "&amp;C16</f>
        <v>Category 1:  Pavement Markings - New</v>
      </c>
      <c r="C43" s="142"/>
      <c r="D43" s="143"/>
      <c r="E43" s="82">
        <f>H16/100</f>
        <v>0</v>
      </c>
      <c r="F43" s="46" t="e">
        <f>VLOOKUP($F$2,PMarkings!$A$4:$J$91,10,FALSE)</f>
        <v>#N/A</v>
      </c>
      <c r="G43" s="47" t="e">
        <f>VLOOKUP($F$2,PMarkings!$A$4:$J$91,9,FALSE)/100</f>
        <v>#N/A</v>
      </c>
      <c r="H43" s="91">
        <v>1</v>
      </c>
      <c r="I43" s="72" t="e">
        <f>(1+G43)*F43*E43/2*H43</f>
        <v>#N/A</v>
      </c>
      <c r="J43" s="49">
        <f>88*E43</f>
        <v>0</v>
      </c>
      <c r="K43" s="61"/>
    </row>
    <row r="44" spans="2:11" ht="31.5" customHeight="1">
      <c r="B44" s="138" t="str">
        <f>B18&amp;" "&amp;C18</f>
        <v>Category 2:  Pavement Markings - Edgeline Rumble Stripe</v>
      </c>
      <c r="C44" s="139"/>
      <c r="D44" s="140"/>
      <c r="E44" s="86">
        <f>H18/100</f>
        <v>0</v>
      </c>
      <c r="F44" s="87" t="e">
        <f>VLOOKUP($F$2,PMarkings!$A$4:$J$91,10,FALSE)</f>
        <v>#N/A</v>
      </c>
      <c r="G44" s="88" t="e">
        <f>VLOOKUP($F$2,PMarkings!$A$4:$J$91,9,FALSE)/100</f>
        <v>#N/A</v>
      </c>
      <c r="H44" s="92">
        <v>1.2</v>
      </c>
      <c r="I44" s="89" t="e">
        <f>(1+G44)*F44*E44/2*H44</f>
        <v>#N/A</v>
      </c>
      <c r="J44" s="90">
        <f>88*E44</f>
        <v>0</v>
      </c>
      <c r="K44" s="61"/>
    </row>
    <row r="45" spans="2:11" ht="31.5" customHeight="1">
      <c r="B45" s="138" t="str">
        <f>B24&amp;" "&amp;C24</f>
        <v>Category 3:  Pavement Markings - Upgrade</v>
      </c>
      <c r="C45" s="139"/>
      <c r="D45" s="140"/>
      <c r="E45" s="86">
        <f>H24/100</f>
        <v>0</v>
      </c>
      <c r="F45" s="87" t="e">
        <f>VLOOKUP($F$2,PMarkings!$A$4:$J$91,10,FALSE)</f>
        <v>#N/A</v>
      </c>
      <c r="G45" s="88" t="e">
        <f>VLOOKUP($F$2,PMarkings!$A$4:$J$91,9,FALSE)/100</f>
        <v>#N/A</v>
      </c>
      <c r="H45" s="92">
        <v>0.6</v>
      </c>
      <c r="I45" s="89" t="e">
        <f>(1+G45)*F45*E45/2*H45</f>
        <v>#N/A</v>
      </c>
      <c r="J45" s="90">
        <f>88*E45</f>
        <v>0</v>
      </c>
      <c r="K45" s="61"/>
    </row>
    <row r="46" spans="2:11" ht="31.5" customHeight="1" thickBot="1">
      <c r="B46" s="134" t="str">
        <f>B26&amp;" "&amp;C26</f>
        <v>Category 4:  Pavement Markings - Upgrade Wider Markings</v>
      </c>
      <c r="C46" s="135"/>
      <c r="D46" s="136"/>
      <c r="E46" s="83" t="e">
        <f>H26/100</f>
        <v>#VALUE!</v>
      </c>
      <c r="F46" s="50" t="e">
        <f>VLOOKUP($F$2,PMarkings!$A$4:$J$91,10,FALSE)</f>
        <v>#N/A</v>
      </c>
      <c r="G46" s="51" t="e">
        <f>VLOOKUP($F$2,PMarkings!$A$4:$J$91,9,FALSE)/100</f>
        <v>#N/A</v>
      </c>
      <c r="H46" s="93">
        <v>0.8</v>
      </c>
      <c r="I46" s="73" t="e">
        <f>(1+G46)*F46*E46/2*H46</f>
        <v>#N/A</v>
      </c>
      <c r="J46" s="71" t="e">
        <f>88*E46</f>
        <v>#VALUE!</v>
      </c>
      <c r="K46" s="61"/>
    </row>
    <row r="47" spans="7:11" ht="15.75" thickBot="1">
      <c r="G47" s="123" t="s">
        <v>116</v>
      </c>
      <c r="H47" s="123"/>
      <c r="I47" s="43" t="e">
        <f>SUM(I43:I46)</f>
        <v>#N/A</v>
      </c>
      <c r="J47" s="44" t="e">
        <f>SUM(J43:J46)</f>
        <v>#VALUE!</v>
      </c>
      <c r="K47" s="56"/>
    </row>
    <row r="48" spans="2:5" ht="15.75" thickBot="1">
      <c r="B48" s="110" t="s">
        <v>178</v>
      </c>
      <c r="C48" s="110"/>
      <c r="D48" s="110"/>
      <c r="E48" s="110"/>
    </row>
    <row r="49" spans="2:10" ht="15.75" thickBot="1">
      <c r="B49" s="110"/>
      <c r="C49" s="110"/>
      <c r="D49" s="110"/>
      <c r="E49" s="110"/>
      <c r="H49" s="107" t="s">
        <v>113</v>
      </c>
      <c r="I49" s="107"/>
      <c r="J49" s="78" t="e">
        <f>ROUND(I47,2)</f>
        <v>#N/A</v>
      </c>
    </row>
    <row r="51" ht="15.75" thickBot="1"/>
    <row r="52" spans="5:6" ht="19.5" thickBot="1">
      <c r="E52" s="34" t="s">
        <v>117</v>
      </c>
      <c r="F52" s="35" t="e">
        <f>SUM(J49,J38)</f>
        <v>#N/A</v>
      </c>
    </row>
    <row r="55" spans="3:12" ht="21">
      <c r="C55" s="36" t="s">
        <v>119</v>
      </c>
      <c r="D55" s="109"/>
      <c r="E55" s="109"/>
      <c r="F55" s="109"/>
      <c r="G55" s="109"/>
      <c r="H55" s="109"/>
      <c r="I55" s="109"/>
      <c r="J55" s="109"/>
      <c r="K55" s="63"/>
      <c r="L55" s="63"/>
    </row>
    <row r="56" spans="3:12" ht="21">
      <c r="C56" s="36" t="s">
        <v>118</v>
      </c>
      <c r="D56" s="111"/>
      <c r="E56" s="111"/>
      <c r="F56" s="111"/>
      <c r="G56" s="111"/>
      <c r="H56" s="111"/>
      <c r="I56" s="111"/>
      <c r="J56" s="111"/>
      <c r="K56" s="63"/>
      <c r="L56" s="63"/>
    </row>
  </sheetData>
  <sheetProtection/>
  <mergeCells count="33">
    <mergeCell ref="C16:G16"/>
    <mergeCell ref="C24:G24"/>
    <mergeCell ref="B48:E49"/>
    <mergeCell ref="B42:D42"/>
    <mergeCell ref="B43:D43"/>
    <mergeCell ref="B45:D45"/>
    <mergeCell ref="C28:J30"/>
    <mergeCell ref="C35:D35"/>
    <mergeCell ref="C36:D36"/>
    <mergeCell ref="C37:D37"/>
    <mergeCell ref="A9:D9"/>
    <mergeCell ref="E9:F9"/>
    <mergeCell ref="C38:D38"/>
    <mergeCell ref="C25:J25"/>
    <mergeCell ref="B10:J10"/>
    <mergeCell ref="B11:J11"/>
    <mergeCell ref="B12:J12"/>
    <mergeCell ref="C17:J17"/>
    <mergeCell ref="C20:J21"/>
    <mergeCell ref="C22:J22"/>
    <mergeCell ref="C18:G18"/>
    <mergeCell ref="C19:J19"/>
    <mergeCell ref="C26:G26"/>
    <mergeCell ref="C27:J27"/>
    <mergeCell ref="C23:J23"/>
    <mergeCell ref="B44:D44"/>
    <mergeCell ref="D56:J56"/>
    <mergeCell ref="H38:I38"/>
    <mergeCell ref="H49:I49"/>
    <mergeCell ref="B46:D46"/>
    <mergeCell ref="G47:H47"/>
    <mergeCell ref="D55:J55"/>
    <mergeCell ref="C39:D39"/>
  </mergeCells>
  <conditionalFormatting sqref="B5">
    <cfRule type="cellIs" priority="13" dxfId="0" operator="equal">
      <formula>0</formula>
    </cfRule>
  </conditionalFormatting>
  <conditionalFormatting sqref="B5">
    <cfRule type="cellIs" priority="14" dxfId="0" operator="equal">
      <formula>"""(Yes/No)"""</formula>
    </cfRule>
  </conditionalFormatting>
  <conditionalFormatting sqref="E9:F9">
    <cfRule type="cellIs" priority="10" dxfId="0" operator="equal">
      <formula>0</formula>
    </cfRule>
  </conditionalFormatting>
  <conditionalFormatting sqref="E9:F9">
    <cfRule type="cellIs" priority="9" dxfId="0" operator="equal">
      <formula>"$"</formula>
    </cfRule>
  </conditionalFormatting>
  <conditionalFormatting sqref="H16">
    <cfRule type="cellIs" priority="8" dxfId="0" operator="equal">
      <formula>0</formula>
    </cfRule>
  </conditionalFormatting>
  <conditionalFormatting sqref="F2">
    <cfRule type="cellIs" priority="3" dxfId="0" operator="equal">
      <formula>0</formula>
    </cfRule>
  </conditionalFormatting>
  <conditionalFormatting sqref="H18">
    <cfRule type="cellIs" priority="2" dxfId="0" operator="equal">
      <formula>0</formula>
    </cfRule>
  </conditionalFormatting>
  <conditionalFormatting sqref="H24">
    <cfRule type="cellIs" priority="1" dxfId="0" operator="equal">
      <formula>0</formula>
    </cfRule>
  </conditionalFormatting>
  <dataValidations count="2">
    <dataValidation type="list" allowBlank="1" showInputMessage="1" showErrorMessage="1" sqref="F2">
      <formula1>County</formula1>
    </dataValidation>
    <dataValidation type="list" allowBlank="1" showInputMessage="1" showErrorMessage="1" sqref="B5">
      <formula1>Select</formula1>
    </dataValidation>
  </dataValidations>
  <printOptions horizontalCentered="1"/>
  <pageMargins left="0.7" right="0.7" top="0.75" bottom="0.75" header="0.3" footer="0.3"/>
  <pageSetup fitToHeight="1" fitToWidth="1" horizontalDpi="600" verticalDpi="600" orientation="portrait" scale="72" r:id="rId2"/>
  <headerFooter>
    <oddHeader>&amp;L&amp;G&amp;C&amp;"-,Bold"&amp;20Pavement Marking Funding Application</oddHeader>
  </headerFooter>
  <ignoredErrors>
    <ignoredError sqref="F47:I47 F46 I46 J49 I43 F43" evalError="1"/>
  </ignoredError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zoomScale="115" zoomScaleNormal="115" zoomScaleSheetLayoutView="145" workbookViewId="0" topLeftCell="A1">
      <selection activeCell="A1" sqref="A1"/>
    </sheetView>
  </sheetViews>
  <sheetFormatPr defaultColWidth="9.140625" defaultRowHeight="15"/>
  <cols>
    <col min="1" max="1" width="11.00390625" style="0" customWidth="1"/>
    <col min="2" max="2" width="13.421875" style="0" customWidth="1"/>
    <col min="3" max="3" width="10.00390625" style="0" customWidth="1"/>
    <col min="4" max="4" width="11.00390625" style="0" customWidth="1"/>
    <col min="5" max="5" width="9.140625" style="0" customWidth="1"/>
    <col min="6" max="6" width="9.57421875" style="0" customWidth="1"/>
  </cols>
  <sheetData>
    <row r="1" spans="3:6" s="17" customFormat="1" ht="15">
      <c r="C1" s="24"/>
      <c r="F1" s="9"/>
    </row>
    <row r="2" spans="4:6" ht="18.75">
      <c r="D2" s="54"/>
      <c r="E2" s="68" t="s">
        <v>158</v>
      </c>
      <c r="F2" s="69"/>
    </row>
    <row r="4" ht="18.75">
      <c r="A4" s="33" t="s">
        <v>97</v>
      </c>
    </row>
    <row r="5" spans="1:4" ht="15">
      <c r="A5" s="8" t="s">
        <v>98</v>
      </c>
      <c r="B5" s="62"/>
      <c r="C5" s="8" t="s">
        <v>99</v>
      </c>
      <c r="D5" s="62" t="str">
        <f>IF(B5="Yes","No",IF(B5=0," ","Yes"))</f>
        <v> </v>
      </c>
    </row>
    <row r="7" ht="18.75">
      <c r="A7" s="33" t="s">
        <v>108</v>
      </c>
    </row>
    <row r="8" ht="15">
      <c r="A8" s="85" t="s">
        <v>147</v>
      </c>
    </row>
    <row r="9" spans="1:6" ht="15">
      <c r="A9" s="129" t="s">
        <v>167</v>
      </c>
      <c r="B9" s="130"/>
      <c r="C9" s="130"/>
      <c r="D9" s="131"/>
      <c r="E9" s="132" t="s">
        <v>153</v>
      </c>
      <c r="F9" s="133"/>
    </row>
    <row r="10" spans="2:10" s="19" customFormat="1" ht="15">
      <c r="B10" s="128" t="s">
        <v>104</v>
      </c>
      <c r="C10" s="128"/>
      <c r="D10" s="128"/>
      <c r="E10" s="128"/>
      <c r="F10" s="128"/>
      <c r="G10" s="128"/>
      <c r="H10" s="128"/>
      <c r="I10" s="128"/>
      <c r="J10" s="128"/>
    </row>
    <row r="11" spans="2:10" s="19" customFormat="1" ht="15" customHeight="1">
      <c r="B11" s="128" t="s">
        <v>176</v>
      </c>
      <c r="C11" s="128"/>
      <c r="D11" s="128"/>
      <c r="E11" s="128"/>
      <c r="F11" s="128"/>
      <c r="G11" s="128"/>
      <c r="H11" s="128"/>
      <c r="I11" s="128"/>
      <c r="J11" s="128"/>
    </row>
    <row r="12" spans="2:10" s="19" customFormat="1" ht="15">
      <c r="B12" s="128" t="s">
        <v>175</v>
      </c>
      <c r="C12" s="128"/>
      <c r="D12" s="128"/>
      <c r="E12" s="128"/>
      <c r="F12" s="128"/>
      <c r="G12" s="128"/>
      <c r="H12" s="128"/>
      <c r="I12" s="128"/>
      <c r="J12" s="128"/>
    </row>
    <row r="14" ht="15">
      <c r="A14" t="s">
        <v>170</v>
      </c>
    </row>
    <row r="15" spans="1:8" s="7" customFormat="1" ht="15" customHeight="1">
      <c r="A15" s="12"/>
      <c r="B15" s="15" t="s">
        <v>171</v>
      </c>
      <c r="C15" s="9"/>
      <c r="D15" s="14"/>
      <c r="E15" s="14"/>
      <c r="F15" s="14"/>
      <c r="G15" s="13"/>
      <c r="H15" s="12"/>
    </row>
    <row r="16" spans="2:9" ht="15">
      <c r="B16" s="11" t="s">
        <v>159</v>
      </c>
      <c r="C16" s="129" t="s">
        <v>129</v>
      </c>
      <c r="D16" s="130"/>
      <c r="E16" s="130"/>
      <c r="F16" s="130"/>
      <c r="G16" s="131"/>
      <c r="H16" s="52">
        <v>100</v>
      </c>
      <c r="I16" s="10" t="s">
        <v>100</v>
      </c>
    </row>
    <row r="17" spans="2:12" s="18" customFormat="1" ht="30" customHeight="1">
      <c r="B17" s="20"/>
      <c r="C17" s="127" t="s">
        <v>128</v>
      </c>
      <c r="D17" s="127"/>
      <c r="E17" s="127"/>
      <c r="F17" s="127"/>
      <c r="G17" s="127"/>
      <c r="H17" s="127"/>
      <c r="I17" s="127"/>
      <c r="J17" s="127"/>
      <c r="K17" s="81"/>
      <c r="L17" s="81"/>
    </row>
    <row r="18" spans="1:11" ht="15" customHeight="1">
      <c r="A18" s="10"/>
      <c r="B18" s="60" t="s">
        <v>107</v>
      </c>
      <c r="C18" s="124" t="s">
        <v>141</v>
      </c>
      <c r="D18" s="124"/>
      <c r="E18" s="124"/>
      <c r="F18" s="124"/>
      <c r="G18" s="124"/>
      <c r="H18" s="124"/>
      <c r="I18" s="124"/>
      <c r="J18" s="124"/>
      <c r="K18" s="55"/>
    </row>
    <row r="19" spans="2:11" ht="15">
      <c r="B19" s="16"/>
      <c r="C19" s="124"/>
      <c r="D19" s="124"/>
      <c r="E19" s="124"/>
      <c r="F19" s="124"/>
      <c r="G19" s="124"/>
      <c r="H19" s="124"/>
      <c r="I19" s="124"/>
      <c r="J19" s="124"/>
      <c r="K19" s="55"/>
    </row>
    <row r="20" spans="2:11" ht="15">
      <c r="B20" s="16"/>
      <c r="C20" s="124"/>
      <c r="D20" s="124"/>
      <c r="E20" s="124"/>
      <c r="F20" s="124"/>
      <c r="G20" s="124"/>
      <c r="H20" s="124"/>
      <c r="I20" s="124"/>
      <c r="J20" s="124"/>
      <c r="K20" s="55"/>
    </row>
    <row r="21" s="7" customFormat="1" ht="15"/>
    <row r="22" ht="18.75">
      <c r="A22" s="33" t="s">
        <v>142</v>
      </c>
    </row>
    <row r="24" ht="15.75" thickBot="1">
      <c r="A24" t="s">
        <v>172</v>
      </c>
    </row>
    <row r="25" spans="3:5" ht="15">
      <c r="C25" s="103" t="s">
        <v>177</v>
      </c>
      <c r="D25" s="104"/>
      <c r="E25" s="37" t="s">
        <v>103</v>
      </c>
    </row>
    <row r="26" spans="3:5" ht="15">
      <c r="C26" s="105" t="s">
        <v>136</v>
      </c>
      <c r="D26" s="106"/>
      <c r="E26" s="26">
        <v>6</v>
      </c>
    </row>
    <row r="27" spans="3:5" ht="15.75" thickBot="1">
      <c r="C27" s="105" t="s">
        <v>137</v>
      </c>
      <c r="D27" s="106"/>
      <c r="E27" s="26">
        <v>3</v>
      </c>
    </row>
    <row r="28" spans="3:10" ht="15.75" thickBot="1">
      <c r="C28" s="112" t="s">
        <v>138</v>
      </c>
      <c r="D28" s="113"/>
      <c r="E28" s="31">
        <v>0</v>
      </c>
      <c r="H28" s="107" t="s">
        <v>113</v>
      </c>
      <c r="I28" s="107"/>
      <c r="J28" s="23">
        <f>IF(E9&lt;=Costs!B15,Costs!C15,IF(E9&lt;=Costs!B16,Costs!C16,Costs!C17))</f>
        <v>0</v>
      </c>
    </row>
    <row r="30" ht="15.75" thickBot="1">
      <c r="A30" t="s">
        <v>164</v>
      </c>
    </row>
    <row r="31" spans="2:11" ht="45.75" thickBot="1">
      <c r="B31" s="114" t="s">
        <v>173</v>
      </c>
      <c r="C31" s="115"/>
      <c r="D31" s="116"/>
      <c r="E31" s="65" t="s">
        <v>174</v>
      </c>
      <c r="F31" s="40" t="s">
        <v>101</v>
      </c>
      <c r="G31" s="40" t="s">
        <v>102</v>
      </c>
      <c r="H31" s="41" t="s">
        <v>140</v>
      </c>
      <c r="I31" s="39" t="s">
        <v>121</v>
      </c>
      <c r="J31" s="42" t="s">
        <v>122</v>
      </c>
      <c r="K31" s="57"/>
    </row>
    <row r="32" spans="2:11" ht="31.5" customHeight="1" thickBot="1">
      <c r="B32" s="144" t="s">
        <v>163</v>
      </c>
      <c r="C32" s="145"/>
      <c r="D32" s="146"/>
      <c r="E32" s="84">
        <f>H16/100</f>
        <v>1</v>
      </c>
      <c r="F32" s="74" t="e">
        <f>VLOOKUP($F$2,RPMs!$A$4:$J$91,10,FALSE)</f>
        <v>#N/A</v>
      </c>
      <c r="G32" s="75" t="e">
        <f>VLOOKUP($F$2,RPMs!$A$4:$J$91,9,FALSE)/100</f>
        <v>#N/A</v>
      </c>
      <c r="H32" s="96">
        <v>1</v>
      </c>
      <c r="I32" s="76" t="e">
        <f>(1+G32)*F32*E32/2*H32</f>
        <v>#N/A</v>
      </c>
      <c r="J32" s="77">
        <f>88*E32</f>
        <v>88</v>
      </c>
      <c r="K32" s="61"/>
    </row>
    <row r="33" spans="7:11" ht="15.75" thickBot="1">
      <c r="G33" s="123" t="s">
        <v>116</v>
      </c>
      <c r="H33" s="123"/>
      <c r="I33" s="43" t="e">
        <f>SUM(I32:I32)</f>
        <v>#N/A</v>
      </c>
      <c r="J33" s="44">
        <f>SUM(J32:J32)</f>
        <v>88</v>
      </c>
      <c r="K33" s="56"/>
    </row>
    <row r="34" spans="2:5" ht="15.75" thickBot="1">
      <c r="B34" s="110" t="s">
        <v>178</v>
      </c>
      <c r="C34" s="110"/>
      <c r="D34" s="110"/>
      <c r="E34" s="110"/>
    </row>
    <row r="35" spans="2:10" ht="15.75" thickBot="1">
      <c r="B35" s="110"/>
      <c r="C35" s="110"/>
      <c r="D35" s="110"/>
      <c r="E35" s="110"/>
      <c r="H35" s="107" t="s">
        <v>113</v>
      </c>
      <c r="I35" s="107"/>
      <c r="J35" s="78" t="e">
        <f>ROUND(I33,2)</f>
        <v>#N/A</v>
      </c>
    </row>
    <row r="37" ht="15.75" thickBot="1"/>
    <row r="38" spans="5:6" ht="19.5" thickBot="1">
      <c r="E38" s="34" t="s">
        <v>117</v>
      </c>
      <c r="F38" s="35" t="e">
        <f>SUM(J35,J28)</f>
        <v>#N/A</v>
      </c>
    </row>
    <row r="41" spans="3:12" ht="21">
      <c r="C41" s="36" t="s">
        <v>119</v>
      </c>
      <c r="D41" s="109"/>
      <c r="E41" s="109"/>
      <c r="F41" s="109"/>
      <c r="G41" s="109"/>
      <c r="H41" s="109"/>
      <c r="I41" s="109"/>
      <c r="J41" s="109"/>
      <c r="K41" s="63"/>
      <c r="L41" s="63"/>
    </row>
    <row r="42" spans="3:12" ht="21">
      <c r="C42" s="36" t="s">
        <v>118</v>
      </c>
      <c r="D42" s="111"/>
      <c r="E42" s="111"/>
      <c r="F42" s="111"/>
      <c r="G42" s="111"/>
      <c r="H42" s="111"/>
      <c r="I42" s="111"/>
      <c r="J42" s="111"/>
      <c r="K42" s="63"/>
      <c r="L42" s="63"/>
    </row>
    <row r="43" spans="11:12" ht="15">
      <c r="K43" s="10"/>
      <c r="L43" s="10"/>
    </row>
  </sheetData>
  <sheetProtection/>
  <mergeCells count="20">
    <mergeCell ref="B32:D32"/>
    <mergeCell ref="H28:I28"/>
    <mergeCell ref="G33:H33"/>
    <mergeCell ref="B10:J10"/>
    <mergeCell ref="A9:D9"/>
    <mergeCell ref="E9:F9"/>
    <mergeCell ref="C16:G16"/>
    <mergeCell ref="C18:J20"/>
    <mergeCell ref="C25:D25"/>
    <mergeCell ref="C26:D26"/>
    <mergeCell ref="B11:J11"/>
    <mergeCell ref="B12:J12"/>
    <mergeCell ref="C17:J17"/>
    <mergeCell ref="B34:E35"/>
    <mergeCell ref="D41:J41"/>
    <mergeCell ref="D42:J42"/>
    <mergeCell ref="C27:D27"/>
    <mergeCell ref="C28:D28"/>
    <mergeCell ref="H35:I35"/>
    <mergeCell ref="B31:D31"/>
  </mergeCells>
  <conditionalFormatting sqref="B5">
    <cfRule type="cellIs" priority="12" dxfId="0" operator="equal">
      <formula>"""(Yes/No)"""</formula>
    </cfRule>
  </conditionalFormatting>
  <conditionalFormatting sqref="B5">
    <cfRule type="cellIs" priority="11" dxfId="0" operator="equal">
      <formula>0</formula>
    </cfRule>
  </conditionalFormatting>
  <conditionalFormatting sqref="E9:F9">
    <cfRule type="cellIs" priority="8" dxfId="0" operator="equal">
      <formula>0</formula>
    </cfRule>
  </conditionalFormatting>
  <conditionalFormatting sqref="E9:F9">
    <cfRule type="cellIs" priority="7" dxfId="0" operator="equal">
      <formula>"$"</formula>
    </cfRule>
  </conditionalFormatting>
  <conditionalFormatting sqref="F2">
    <cfRule type="cellIs" priority="1" dxfId="0" operator="equal">
      <formula>0</formula>
    </cfRule>
  </conditionalFormatting>
  <dataValidations count="2">
    <dataValidation type="list" allowBlank="1" showInputMessage="1" showErrorMessage="1" sqref="F2">
      <formula1>County</formula1>
    </dataValidation>
    <dataValidation type="list" allowBlank="1" showInputMessage="1" showErrorMessage="1" sqref="B5">
      <formula1>Select</formula1>
    </dataValidation>
  </dataValidations>
  <printOptions horizontalCentered="1"/>
  <pageMargins left="0.7" right="0.7" top="0.75" bottom="0.75" header="0.3" footer="0.3"/>
  <pageSetup fitToHeight="1" fitToWidth="1" horizontalDpi="600" verticalDpi="600" orientation="portrait" scale="89" r:id="rId2"/>
  <headerFooter>
    <oddHeader>&amp;L&amp;G&amp;C&amp;"-,Bold"&amp;20Raised Pavement Marker Funding Application</oddHeader>
  </headerFooter>
  <ignoredErrors>
    <ignoredError sqref="H32:I32 I33 F32" evalError="1"/>
  </ignoredError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91"/>
  <sheetViews>
    <sheetView zoomScalePageLayoutView="0" workbookViewId="0" topLeftCell="A2">
      <selection activeCell="A3" sqref="A3"/>
    </sheetView>
  </sheetViews>
  <sheetFormatPr defaultColWidth="9.140625" defaultRowHeight="15"/>
  <cols>
    <col min="2" max="2" width="9.28125" style="0" bestFit="1" customWidth="1"/>
    <col min="3" max="3" width="12.7109375" style="99" bestFit="1" customWidth="1"/>
    <col min="4" max="4" width="14.28125" style="99" bestFit="1" customWidth="1"/>
    <col min="5" max="7" width="9.28125" style="4" bestFit="1" customWidth="1"/>
    <col min="8" max="8" width="9.28125" style="0" bestFit="1" customWidth="1"/>
    <col min="9" max="9" width="9.28125" style="0" customWidth="1"/>
  </cols>
  <sheetData>
    <row r="2" spans="1:10" ht="109.5">
      <c r="A2" s="5" t="s">
        <v>88</v>
      </c>
      <c r="B2" s="5" t="s">
        <v>190</v>
      </c>
      <c r="C2" s="98" t="s">
        <v>189</v>
      </c>
      <c r="D2" s="98" t="s">
        <v>89</v>
      </c>
      <c r="E2" s="6" t="s">
        <v>93</v>
      </c>
      <c r="F2" s="6" t="s">
        <v>94</v>
      </c>
      <c r="G2" s="6" t="s">
        <v>92</v>
      </c>
      <c r="H2" s="5" t="s">
        <v>91</v>
      </c>
      <c r="I2" s="5" t="s">
        <v>114</v>
      </c>
      <c r="J2" s="5" t="s">
        <v>154</v>
      </c>
    </row>
    <row r="3" spans="1:10" ht="15">
      <c r="A3" t="s">
        <v>0</v>
      </c>
      <c r="B3" s="2">
        <v>374.96000000000026</v>
      </c>
      <c r="C3" s="102">
        <v>346</v>
      </c>
      <c r="D3" s="3">
        <v>129830.38699999993</v>
      </c>
      <c r="E3" s="4">
        <v>4</v>
      </c>
      <c r="F3" s="4">
        <v>187</v>
      </c>
      <c r="G3" s="4">
        <v>576</v>
      </c>
      <c r="H3" s="3">
        <f aca="true" t="shared" si="0" ref="H3:H34">G3*1000000/(5*365*B3*D3/B3)</f>
        <v>2.4309905073006104</v>
      </c>
      <c r="I3" s="32">
        <f aca="true" t="shared" si="1" ref="I3:I34">SUM($E3:$F3)/SUM($E$3:$F$90)</f>
        <v>0.004481884738126525</v>
      </c>
      <c r="J3">
        <f aca="true" t="shared" si="2" ref="J3:J34">_xlfn.RANK.AVG(H3,H$1:H$65536,1)</f>
        <v>67</v>
      </c>
    </row>
    <row r="4" spans="1:10" ht="15">
      <c r="A4" t="s">
        <v>1</v>
      </c>
      <c r="B4" s="2">
        <v>353.2279999999997</v>
      </c>
      <c r="C4" s="102">
        <v>1581</v>
      </c>
      <c r="D4" s="3">
        <v>558441.7940000001</v>
      </c>
      <c r="E4" s="4">
        <v>14</v>
      </c>
      <c r="F4" s="4">
        <v>694</v>
      </c>
      <c r="G4" s="4">
        <v>2548</v>
      </c>
      <c r="H4" s="3">
        <f t="shared" si="0"/>
        <v>2.5001072601697922</v>
      </c>
      <c r="I4" s="32">
        <f t="shared" si="1"/>
        <v>0.01661347850572555</v>
      </c>
      <c r="J4">
        <f t="shared" si="2"/>
        <v>70</v>
      </c>
    </row>
    <row r="5" spans="1:10" ht="15">
      <c r="A5" t="s">
        <v>2</v>
      </c>
      <c r="B5" s="2">
        <v>285.55899999999997</v>
      </c>
      <c r="C5" s="102">
        <v>529</v>
      </c>
      <c r="D5" s="3">
        <v>151139.74200000017</v>
      </c>
      <c r="E5" s="4">
        <v>3</v>
      </c>
      <c r="F5" s="4">
        <v>191</v>
      </c>
      <c r="G5" s="4">
        <v>510</v>
      </c>
      <c r="H5" s="3">
        <f t="shared" si="0"/>
        <v>1.8489647467740167</v>
      </c>
      <c r="I5" s="32">
        <f t="shared" si="1"/>
        <v>0.004552280833489769</v>
      </c>
      <c r="J5">
        <f t="shared" si="2"/>
        <v>46</v>
      </c>
    </row>
    <row r="6" spans="1:10" ht="15">
      <c r="A6" t="s">
        <v>3</v>
      </c>
      <c r="B6" s="2">
        <v>358.51900000000006</v>
      </c>
      <c r="C6" s="102">
        <v>636</v>
      </c>
      <c r="D6" s="3">
        <v>228148.01299999998</v>
      </c>
      <c r="E6" s="4">
        <v>13</v>
      </c>
      <c r="F6" s="4">
        <v>313</v>
      </c>
      <c r="G6" s="4">
        <v>906</v>
      </c>
      <c r="H6" s="3">
        <f t="shared" si="0"/>
        <v>2.175948629297874</v>
      </c>
      <c r="I6" s="32">
        <f t="shared" si="1"/>
        <v>0.007649709029472498</v>
      </c>
      <c r="J6">
        <f t="shared" si="2"/>
        <v>58</v>
      </c>
    </row>
    <row r="7" spans="1:10" ht="15">
      <c r="A7" t="s">
        <v>4</v>
      </c>
      <c r="B7" s="2">
        <v>363.18499999999983</v>
      </c>
      <c r="C7" s="102">
        <v>366</v>
      </c>
      <c r="D7" s="3">
        <v>133042.99000000005</v>
      </c>
      <c r="E7" s="4">
        <v>3</v>
      </c>
      <c r="F7" s="4">
        <v>191</v>
      </c>
      <c r="G7" s="4">
        <v>589</v>
      </c>
      <c r="H7" s="3">
        <f t="shared" si="0"/>
        <v>2.425830372779484</v>
      </c>
      <c r="I7" s="32">
        <f t="shared" si="1"/>
        <v>0.004552280833489769</v>
      </c>
      <c r="J7">
        <f t="shared" si="2"/>
        <v>66</v>
      </c>
    </row>
    <row r="8" spans="1:10" ht="15">
      <c r="A8" t="s">
        <v>5</v>
      </c>
      <c r="B8" s="2">
        <v>357.75300000000016</v>
      </c>
      <c r="C8" s="102">
        <v>787</v>
      </c>
      <c r="D8" s="3">
        <v>281631.36699999997</v>
      </c>
      <c r="E8" s="4">
        <v>4</v>
      </c>
      <c r="F8" s="4">
        <v>176</v>
      </c>
      <c r="G8" s="4">
        <v>439</v>
      </c>
      <c r="H8" s="3">
        <f t="shared" si="0"/>
        <v>0.854123415895927</v>
      </c>
      <c r="I8" s="32">
        <f t="shared" si="1"/>
        <v>0.004223765721794631</v>
      </c>
      <c r="J8">
        <f t="shared" si="2"/>
        <v>4</v>
      </c>
    </row>
    <row r="9" spans="1:10" ht="15">
      <c r="A9" t="s">
        <v>6</v>
      </c>
      <c r="B9" s="2">
        <v>309.25</v>
      </c>
      <c r="C9" s="102">
        <v>670</v>
      </c>
      <c r="D9" s="3">
        <v>207062.1750000001</v>
      </c>
      <c r="E9" s="4">
        <v>6</v>
      </c>
      <c r="F9" s="4">
        <v>283</v>
      </c>
      <c r="G9" s="4">
        <v>1040</v>
      </c>
      <c r="H9" s="3">
        <f t="shared" si="0"/>
        <v>2.752134781249303</v>
      </c>
      <c r="I9" s="32">
        <f t="shared" si="1"/>
        <v>0.006781490519992491</v>
      </c>
      <c r="J9">
        <f t="shared" si="2"/>
        <v>76</v>
      </c>
    </row>
    <row r="10" spans="1:10" ht="15">
      <c r="A10" t="s">
        <v>7</v>
      </c>
      <c r="B10" s="2">
        <v>332.949</v>
      </c>
      <c r="C10" s="102">
        <v>603</v>
      </c>
      <c r="D10" s="3">
        <v>200604.25500000012</v>
      </c>
      <c r="E10" s="4">
        <v>3</v>
      </c>
      <c r="F10" s="4">
        <v>301</v>
      </c>
      <c r="G10" s="4">
        <v>806</v>
      </c>
      <c r="H10" s="3">
        <f t="shared" si="0"/>
        <v>2.2015676368202564</v>
      </c>
      <c r="I10" s="32">
        <f t="shared" si="1"/>
        <v>0.0071334709968087105</v>
      </c>
      <c r="J10">
        <f t="shared" si="2"/>
        <v>60</v>
      </c>
    </row>
    <row r="11" spans="1:10" ht="15">
      <c r="A11" t="s">
        <v>8</v>
      </c>
      <c r="B11" s="2">
        <v>267.0160000000001</v>
      </c>
      <c r="C11" s="102">
        <v>4086</v>
      </c>
      <c r="D11" s="3">
        <v>1090917.9510000004</v>
      </c>
      <c r="E11" s="4">
        <v>18</v>
      </c>
      <c r="F11" s="4">
        <v>965</v>
      </c>
      <c r="G11" s="4">
        <v>3252</v>
      </c>
      <c r="H11" s="3">
        <f t="shared" si="0"/>
        <v>1.6334113913752781</v>
      </c>
      <c r="I11" s="32">
        <f t="shared" si="1"/>
        <v>0.023066453914022903</v>
      </c>
      <c r="J11">
        <f t="shared" si="2"/>
        <v>31</v>
      </c>
    </row>
    <row r="12" spans="1:10" ht="15">
      <c r="A12" t="s">
        <v>9</v>
      </c>
      <c r="B12" s="2">
        <v>306.0599999999999</v>
      </c>
      <c r="C12" s="102">
        <v>513</v>
      </c>
      <c r="D12" s="3">
        <v>157133.74300000007</v>
      </c>
      <c r="E12" s="4">
        <v>4</v>
      </c>
      <c r="F12" s="4">
        <v>130</v>
      </c>
      <c r="G12" s="4">
        <v>423</v>
      </c>
      <c r="H12" s="3">
        <f t="shared" si="0"/>
        <v>1.475054418565006</v>
      </c>
      <c r="I12" s="32">
        <f t="shared" si="1"/>
        <v>0.0031443589262248922</v>
      </c>
      <c r="J12">
        <f t="shared" si="2"/>
        <v>20</v>
      </c>
    </row>
    <row r="13" spans="1:10" ht="15">
      <c r="A13" t="s">
        <v>10</v>
      </c>
      <c r="B13" s="2">
        <v>239.03000000000014</v>
      </c>
      <c r="C13" s="102">
        <v>546</v>
      </c>
      <c r="D13" s="3">
        <v>130604.98699999995</v>
      </c>
      <c r="E13" s="4">
        <v>6</v>
      </c>
      <c r="F13" s="4">
        <v>146</v>
      </c>
      <c r="G13" s="4">
        <v>382</v>
      </c>
      <c r="H13" s="3">
        <f t="shared" si="0"/>
        <v>1.6026575500761757</v>
      </c>
      <c r="I13" s="32">
        <f t="shared" si="1"/>
        <v>0.0035667354984043552</v>
      </c>
      <c r="J13">
        <f t="shared" si="2"/>
        <v>28</v>
      </c>
    </row>
    <row r="14" spans="1:10" ht="15">
      <c r="A14" t="s">
        <v>11</v>
      </c>
      <c r="B14" s="2">
        <v>306.735</v>
      </c>
      <c r="C14" s="102">
        <v>1867</v>
      </c>
      <c r="D14" s="3">
        <v>572619.2000000002</v>
      </c>
      <c r="E14" s="4">
        <v>22</v>
      </c>
      <c r="F14" s="4">
        <v>543</v>
      </c>
      <c r="G14" s="4">
        <v>1655</v>
      </c>
      <c r="H14" s="3">
        <f t="shared" si="0"/>
        <v>1.583686532111555</v>
      </c>
      <c r="I14" s="32">
        <f t="shared" si="1"/>
        <v>0.013257931293410926</v>
      </c>
      <c r="J14">
        <f t="shared" si="2"/>
        <v>26</v>
      </c>
    </row>
    <row r="15" spans="1:10" ht="15">
      <c r="A15" t="s">
        <v>12</v>
      </c>
      <c r="B15" s="2">
        <v>384.98599999999965</v>
      </c>
      <c r="C15" s="102">
        <v>2931</v>
      </c>
      <c r="D15" s="3">
        <v>1128467.5830000003</v>
      </c>
      <c r="E15" s="4">
        <v>22</v>
      </c>
      <c r="F15" s="4">
        <v>1836</v>
      </c>
      <c r="G15" s="4">
        <v>7298</v>
      </c>
      <c r="H15" s="3">
        <f t="shared" si="0"/>
        <v>3.543658825323155</v>
      </c>
      <c r="I15" s="32">
        <f t="shared" si="1"/>
        <v>0.043598648394969026</v>
      </c>
      <c r="J15">
        <f t="shared" si="2"/>
        <v>85</v>
      </c>
    </row>
    <row r="16" spans="1:10" ht="15">
      <c r="A16" t="s">
        <v>13</v>
      </c>
      <c r="B16" s="2">
        <v>261.7250000000001</v>
      </c>
      <c r="C16" s="102">
        <v>604</v>
      </c>
      <c r="D16" s="3">
        <v>158125.797</v>
      </c>
      <c r="E16" s="4">
        <v>5</v>
      </c>
      <c r="F16" s="4">
        <v>172</v>
      </c>
      <c r="G16" s="4">
        <v>500</v>
      </c>
      <c r="H16" s="3">
        <f t="shared" si="0"/>
        <v>1.7326243278301143</v>
      </c>
      <c r="I16" s="32">
        <f t="shared" si="1"/>
        <v>0.004153369626431387</v>
      </c>
      <c r="J16">
        <f t="shared" si="2"/>
        <v>37</v>
      </c>
    </row>
    <row r="17" spans="1:10" ht="15">
      <c r="A17" t="s">
        <v>14</v>
      </c>
      <c r="B17" s="2">
        <v>168.39000000000004</v>
      </c>
      <c r="C17" s="102">
        <v>1462</v>
      </c>
      <c r="D17" s="3">
        <v>246177.93000000008</v>
      </c>
      <c r="E17" s="4">
        <v>10</v>
      </c>
      <c r="F17" s="4">
        <v>267</v>
      </c>
      <c r="G17" s="4">
        <v>766</v>
      </c>
      <c r="H17" s="3">
        <f t="shared" si="0"/>
        <v>1.7049701709542369</v>
      </c>
      <c r="I17" s="32">
        <f t="shared" si="1"/>
        <v>0.0064999061385395155</v>
      </c>
      <c r="J17">
        <f t="shared" si="2"/>
        <v>34</v>
      </c>
    </row>
    <row r="18" spans="1:10" ht="15">
      <c r="A18" t="s">
        <v>15</v>
      </c>
      <c r="B18" s="2">
        <v>351.77500000000026</v>
      </c>
      <c r="C18" s="102">
        <v>541</v>
      </c>
      <c r="D18" s="3">
        <v>190137.4799999999</v>
      </c>
      <c r="E18" s="4">
        <v>11</v>
      </c>
      <c r="F18" s="4">
        <v>124</v>
      </c>
      <c r="G18" s="4">
        <v>402</v>
      </c>
      <c r="H18" s="3">
        <f t="shared" si="0"/>
        <v>1.1584984328326</v>
      </c>
      <c r="I18" s="32">
        <f t="shared" si="1"/>
        <v>0.0031678242913459735</v>
      </c>
      <c r="J18">
        <f t="shared" si="2"/>
        <v>9</v>
      </c>
    </row>
    <row r="19" spans="1:10" ht="15">
      <c r="A19" t="s">
        <v>16</v>
      </c>
      <c r="B19" s="2">
        <v>238.10199999999986</v>
      </c>
      <c r="C19" s="102">
        <v>657</v>
      </c>
      <c r="D19" s="3">
        <v>156525.97499999998</v>
      </c>
      <c r="E19" s="4">
        <v>5</v>
      </c>
      <c r="F19" s="4">
        <v>135</v>
      </c>
      <c r="G19" s="4">
        <v>403</v>
      </c>
      <c r="H19" s="3">
        <f t="shared" si="0"/>
        <v>1.4107685181850438</v>
      </c>
      <c r="I19" s="32">
        <f t="shared" si="1"/>
        <v>0.0032851511169513796</v>
      </c>
      <c r="J19">
        <f t="shared" si="2"/>
        <v>18</v>
      </c>
    </row>
    <row r="20" spans="1:10" ht="15">
      <c r="A20" t="s">
        <v>17</v>
      </c>
      <c r="B20" s="2">
        <v>22.090000000000003</v>
      </c>
      <c r="C20" s="102">
        <v>4927</v>
      </c>
      <c r="D20" s="3">
        <v>108833.01999999997</v>
      </c>
      <c r="E20" s="4">
        <v>0</v>
      </c>
      <c r="F20" s="4">
        <v>96</v>
      </c>
      <c r="G20" s="4">
        <v>441</v>
      </c>
      <c r="H20" s="3">
        <f t="shared" si="0"/>
        <v>2.2203172862099976</v>
      </c>
      <c r="I20" s="32">
        <f t="shared" si="1"/>
        <v>0.0022526750516238033</v>
      </c>
      <c r="J20">
        <f t="shared" si="2"/>
        <v>61</v>
      </c>
    </row>
    <row r="21" spans="1:10" ht="15">
      <c r="A21" t="s">
        <v>18</v>
      </c>
      <c r="B21" s="2">
        <v>539.4259999999997</v>
      </c>
      <c r="C21" s="102">
        <v>504</v>
      </c>
      <c r="D21" s="3">
        <v>271847.5880000003</v>
      </c>
      <c r="E21" s="4">
        <v>8</v>
      </c>
      <c r="F21" s="4">
        <v>229</v>
      </c>
      <c r="G21" s="4">
        <v>800</v>
      </c>
      <c r="H21" s="3">
        <f t="shared" si="0"/>
        <v>1.6125070949077585</v>
      </c>
      <c r="I21" s="32">
        <f t="shared" si="1"/>
        <v>0.005561291533696265</v>
      </c>
      <c r="J21">
        <f t="shared" si="2"/>
        <v>29</v>
      </c>
    </row>
    <row r="22" spans="1:10" ht="15">
      <c r="A22" t="s">
        <v>19</v>
      </c>
      <c r="B22" s="2">
        <v>338.45000000000005</v>
      </c>
      <c r="C22" s="102">
        <v>569</v>
      </c>
      <c r="D22" s="3">
        <v>192412.26600000015</v>
      </c>
      <c r="E22" s="4">
        <v>8</v>
      </c>
      <c r="F22" s="4">
        <v>183</v>
      </c>
      <c r="G22" s="4">
        <v>453</v>
      </c>
      <c r="H22" s="3">
        <f t="shared" si="0"/>
        <v>1.2900382249133304</v>
      </c>
      <c r="I22" s="32">
        <f t="shared" si="1"/>
        <v>0.004481884738126525</v>
      </c>
      <c r="J22">
        <f t="shared" si="2"/>
        <v>14</v>
      </c>
    </row>
    <row r="23" spans="1:10" ht="15">
      <c r="A23" t="s">
        <v>20</v>
      </c>
      <c r="B23" s="2">
        <v>343.75400000000036</v>
      </c>
      <c r="C23" s="102">
        <v>2746</v>
      </c>
      <c r="D23" s="3">
        <v>943838.3889999997</v>
      </c>
      <c r="E23" s="4">
        <v>8</v>
      </c>
      <c r="F23" s="4">
        <v>780</v>
      </c>
      <c r="G23" s="4">
        <v>2279</v>
      </c>
      <c r="H23" s="3">
        <f t="shared" si="0"/>
        <v>1.3230730364874697</v>
      </c>
      <c r="I23" s="32">
        <f t="shared" si="1"/>
        <v>0.01849070771541205</v>
      </c>
      <c r="J23">
        <f t="shared" si="2"/>
        <v>16</v>
      </c>
    </row>
    <row r="24" spans="1:10" ht="15">
      <c r="A24" t="s">
        <v>21</v>
      </c>
      <c r="B24" s="2">
        <v>140.72399999999993</v>
      </c>
      <c r="C24" s="102">
        <v>1857</v>
      </c>
      <c r="D24" s="3">
        <v>261381.41000000012</v>
      </c>
      <c r="E24" s="4">
        <v>9</v>
      </c>
      <c r="F24" s="4">
        <v>319</v>
      </c>
      <c r="G24" s="4">
        <v>1228</v>
      </c>
      <c r="H24" s="3">
        <f t="shared" si="0"/>
        <v>2.5743097503711794</v>
      </c>
      <c r="I24" s="32">
        <f t="shared" si="1"/>
        <v>0.007696639759714661</v>
      </c>
      <c r="J24">
        <f t="shared" si="2"/>
        <v>74</v>
      </c>
    </row>
    <row r="25" spans="1:10" ht="15">
      <c r="A25" t="s">
        <v>22</v>
      </c>
      <c r="B25" s="2">
        <v>367.4860000000001</v>
      </c>
      <c r="C25" s="102">
        <v>1464</v>
      </c>
      <c r="D25" s="3">
        <v>538066.0779999999</v>
      </c>
      <c r="E25" s="4">
        <v>16</v>
      </c>
      <c r="F25" s="4">
        <v>627</v>
      </c>
      <c r="G25" s="4">
        <v>1659</v>
      </c>
      <c r="H25" s="3">
        <f t="shared" si="0"/>
        <v>1.6894599623699216</v>
      </c>
      <c r="I25" s="32">
        <f t="shared" si="1"/>
        <v>0.015088229772855266</v>
      </c>
      <c r="J25">
        <f t="shared" si="2"/>
        <v>33</v>
      </c>
    </row>
    <row r="26" spans="1:10" ht="15">
      <c r="A26" t="s">
        <v>23</v>
      </c>
      <c r="B26" s="2">
        <v>312.2939999999999</v>
      </c>
      <c r="C26" s="102">
        <v>509</v>
      </c>
      <c r="D26" s="3">
        <v>159072.99000000005</v>
      </c>
      <c r="E26" s="4">
        <v>6</v>
      </c>
      <c r="F26" s="4">
        <v>173</v>
      </c>
      <c r="G26" s="4">
        <v>504</v>
      </c>
      <c r="H26" s="3">
        <f t="shared" si="0"/>
        <v>1.7360859537602442</v>
      </c>
      <c r="I26" s="32">
        <f t="shared" si="1"/>
        <v>0.00420030035667355</v>
      </c>
      <c r="J26">
        <f t="shared" si="2"/>
        <v>38</v>
      </c>
    </row>
    <row r="27" spans="1:10" ht="15">
      <c r="A27" t="s">
        <v>24</v>
      </c>
      <c r="B27" s="2">
        <v>266.10200000000003</v>
      </c>
      <c r="C27" s="102">
        <v>5176</v>
      </c>
      <c r="D27" s="3">
        <v>1377389.7329999988</v>
      </c>
      <c r="E27" s="4">
        <v>36</v>
      </c>
      <c r="F27" s="4">
        <v>2081</v>
      </c>
      <c r="G27" s="4">
        <v>6154</v>
      </c>
      <c r="H27" s="3">
        <f t="shared" si="0"/>
        <v>2.4481486348646615</v>
      </c>
      <c r="I27" s="32">
        <f t="shared" si="1"/>
        <v>0.04967617796132908</v>
      </c>
      <c r="J27">
        <f t="shared" si="2"/>
        <v>68</v>
      </c>
    </row>
    <row r="28" spans="1:10" ht="15">
      <c r="A28" t="s">
        <v>25</v>
      </c>
      <c r="B28" s="2">
        <v>376.5069999999997</v>
      </c>
      <c r="C28" s="102">
        <v>619</v>
      </c>
      <c r="D28" s="3">
        <v>233138.67600000018</v>
      </c>
      <c r="E28" s="4">
        <v>9</v>
      </c>
      <c r="F28" s="4">
        <v>238</v>
      </c>
      <c r="G28" s="4">
        <v>678</v>
      </c>
      <c r="H28" s="3">
        <f t="shared" si="0"/>
        <v>1.5935015832167987</v>
      </c>
      <c r="I28" s="32">
        <f t="shared" si="1"/>
        <v>0.005795945184907077</v>
      </c>
      <c r="J28">
        <f t="shared" si="2"/>
        <v>27</v>
      </c>
    </row>
    <row r="29" spans="1:10" ht="15">
      <c r="A29" t="s">
        <v>26</v>
      </c>
      <c r="B29" s="2">
        <v>454.75599999999986</v>
      </c>
      <c r="C29" s="102">
        <v>332</v>
      </c>
      <c r="D29" s="3">
        <v>150919.0630000001</v>
      </c>
      <c r="E29" s="4">
        <v>6</v>
      </c>
      <c r="F29" s="4">
        <v>205</v>
      </c>
      <c r="G29" s="4">
        <v>707</v>
      </c>
      <c r="H29" s="3">
        <f t="shared" si="0"/>
        <v>2.566920656497664</v>
      </c>
      <c r="I29" s="32">
        <f t="shared" si="1"/>
        <v>0.004951192040548151</v>
      </c>
      <c r="J29">
        <f t="shared" si="2"/>
        <v>72</v>
      </c>
    </row>
    <row r="30" spans="1:10" ht="15">
      <c r="A30" t="s">
        <v>27</v>
      </c>
      <c r="B30" s="2">
        <v>236.99300000000005</v>
      </c>
      <c r="C30" s="102">
        <v>2814</v>
      </c>
      <c r="D30" s="3">
        <v>667003.803</v>
      </c>
      <c r="E30" s="4">
        <v>12</v>
      </c>
      <c r="F30" s="4">
        <v>548</v>
      </c>
      <c r="G30" s="4">
        <v>1709</v>
      </c>
      <c r="H30" s="3">
        <f t="shared" si="0"/>
        <v>1.403947551651941</v>
      </c>
      <c r="I30" s="32">
        <f t="shared" si="1"/>
        <v>0.013140604467805518</v>
      </c>
      <c r="J30">
        <f t="shared" si="2"/>
        <v>17</v>
      </c>
    </row>
    <row r="31" spans="1:10" ht="15">
      <c r="A31" t="s">
        <v>28</v>
      </c>
      <c r="B31" s="2">
        <v>323.4029999999999</v>
      </c>
      <c r="C31" s="102">
        <v>1897</v>
      </c>
      <c r="D31" s="3">
        <v>613507.4199999998</v>
      </c>
      <c r="E31" s="4">
        <v>10</v>
      </c>
      <c r="F31" s="4">
        <v>792</v>
      </c>
      <c r="G31" s="4">
        <v>2322</v>
      </c>
      <c r="H31" s="3">
        <f t="shared" si="0"/>
        <v>2.0738604385963058</v>
      </c>
      <c r="I31" s="32">
        <f t="shared" si="1"/>
        <v>0.01881922282710719</v>
      </c>
      <c r="J31">
        <f t="shared" si="2"/>
        <v>53</v>
      </c>
    </row>
    <row r="32" spans="1:10" ht="15">
      <c r="A32" t="s">
        <v>29</v>
      </c>
      <c r="B32" s="2">
        <v>403.624</v>
      </c>
      <c r="C32" s="102">
        <v>421</v>
      </c>
      <c r="D32" s="3">
        <v>169953.35699999993</v>
      </c>
      <c r="E32" s="4">
        <v>3</v>
      </c>
      <c r="F32" s="4">
        <v>218</v>
      </c>
      <c r="G32" s="4">
        <v>648</v>
      </c>
      <c r="H32" s="3">
        <f t="shared" si="0"/>
        <v>2.089211413168409</v>
      </c>
      <c r="I32" s="32">
        <f t="shared" si="1"/>
        <v>0.005185845691758964</v>
      </c>
      <c r="J32">
        <f t="shared" si="2"/>
        <v>54</v>
      </c>
    </row>
    <row r="33" spans="1:10" ht="15">
      <c r="A33" t="s">
        <v>30</v>
      </c>
      <c r="B33" s="2">
        <v>511.58099999999996</v>
      </c>
      <c r="C33" s="102">
        <v>5190</v>
      </c>
      <c r="D33" s="3">
        <v>2655262.417</v>
      </c>
      <c r="E33" s="4">
        <v>45</v>
      </c>
      <c r="F33" s="4">
        <v>4486</v>
      </c>
      <c r="G33" s="4">
        <v>18368</v>
      </c>
      <c r="H33" s="3">
        <f t="shared" si="0"/>
        <v>3.7904568188096253</v>
      </c>
      <c r="I33" s="32">
        <f t="shared" si="1"/>
        <v>0.10632156936361929</v>
      </c>
      <c r="J33">
        <f t="shared" si="2"/>
        <v>88</v>
      </c>
    </row>
    <row r="34" spans="1:10" ht="15">
      <c r="A34" t="s">
        <v>31</v>
      </c>
      <c r="B34" s="2">
        <v>385.3810000000001</v>
      </c>
      <c r="C34" s="102">
        <v>872</v>
      </c>
      <c r="D34" s="3">
        <v>335880.58599999995</v>
      </c>
      <c r="E34" s="4">
        <v>13</v>
      </c>
      <c r="F34" s="4">
        <v>208</v>
      </c>
      <c r="G34" s="4">
        <v>896</v>
      </c>
      <c r="H34" s="3">
        <f t="shared" si="0"/>
        <v>1.4617067034341458</v>
      </c>
      <c r="I34" s="32">
        <f t="shared" si="1"/>
        <v>0.005185845691758964</v>
      </c>
      <c r="J34">
        <f t="shared" si="2"/>
        <v>19</v>
      </c>
    </row>
    <row r="35" spans="1:10" ht="15">
      <c r="A35" t="s">
        <v>32</v>
      </c>
      <c r="B35" s="2">
        <v>391.51800000000026</v>
      </c>
      <c r="C35" s="102">
        <v>395</v>
      </c>
      <c r="D35" s="3">
        <v>154609.23100000006</v>
      </c>
      <c r="E35" s="4">
        <v>5</v>
      </c>
      <c r="F35" s="4">
        <v>114</v>
      </c>
      <c r="G35" s="4">
        <v>333</v>
      </c>
      <c r="H35" s="3">
        <f aca="true" t="shared" si="3" ref="H35:H66">G35*1000000/(5*365*B35*D35/B35)</f>
        <v>1.1801737337705112</v>
      </c>
      <c r="I35" s="32">
        <f aca="true" t="shared" si="4" ref="I35:I66">SUM($E35:$F35)/SUM($E$3:$F$90)</f>
        <v>0.002792378449408673</v>
      </c>
      <c r="J35">
        <f aca="true" t="shared" si="5" ref="J35:J66">_xlfn.RANK.AVG(H35,H$1:H$65536,1)</f>
        <v>10</v>
      </c>
    </row>
    <row r="36" spans="1:10" ht="15">
      <c r="A36" t="s">
        <v>33</v>
      </c>
      <c r="B36" s="2">
        <v>265.9</v>
      </c>
      <c r="C36" s="102">
        <v>300</v>
      </c>
      <c r="D36" s="3">
        <v>79866.59999999998</v>
      </c>
      <c r="E36" s="4">
        <v>4</v>
      </c>
      <c r="F36" s="4">
        <v>78</v>
      </c>
      <c r="G36" s="4">
        <v>249</v>
      </c>
      <c r="H36" s="3">
        <f t="shared" si="3"/>
        <v>1.7083280891434418</v>
      </c>
      <c r="I36" s="32">
        <f t="shared" si="4"/>
        <v>0.0019241599399286652</v>
      </c>
      <c r="J36">
        <f t="shared" si="5"/>
        <v>35</v>
      </c>
    </row>
    <row r="37" spans="1:10" ht="15">
      <c r="A37" t="s">
        <v>34</v>
      </c>
      <c r="B37" s="2">
        <v>429.3439999999995</v>
      </c>
      <c r="C37" s="102">
        <v>562</v>
      </c>
      <c r="D37" s="3">
        <v>241343.573</v>
      </c>
      <c r="E37" s="4">
        <v>5</v>
      </c>
      <c r="F37" s="4">
        <v>150</v>
      </c>
      <c r="G37" s="4">
        <v>446</v>
      </c>
      <c r="H37" s="3">
        <f t="shared" si="3"/>
        <v>1.0125961035798356</v>
      </c>
      <c r="I37" s="32">
        <f t="shared" si="4"/>
        <v>0.003637131593767599</v>
      </c>
      <c r="J37">
        <f t="shared" si="5"/>
        <v>7</v>
      </c>
    </row>
    <row r="38" spans="1:10" ht="15">
      <c r="A38" t="s">
        <v>35</v>
      </c>
      <c r="B38" s="2">
        <v>392.1030000000001</v>
      </c>
      <c r="C38" s="102">
        <v>535</v>
      </c>
      <c r="D38" s="3">
        <v>209634.95199999984</v>
      </c>
      <c r="E38" s="4">
        <v>4</v>
      </c>
      <c r="F38" s="4">
        <v>174</v>
      </c>
      <c r="G38" s="4">
        <v>473</v>
      </c>
      <c r="H38" s="3">
        <f t="shared" si="3"/>
        <v>1.2363304864914941</v>
      </c>
      <c r="I38" s="32">
        <f t="shared" si="4"/>
        <v>0.0041768349915524685</v>
      </c>
      <c r="J38">
        <f t="shared" si="5"/>
        <v>13</v>
      </c>
    </row>
    <row r="39" spans="1:10" ht="15">
      <c r="A39" t="s">
        <v>36</v>
      </c>
      <c r="B39" s="2">
        <v>212.22299999999998</v>
      </c>
      <c r="C39" s="102">
        <v>416</v>
      </c>
      <c r="D39" s="3">
        <v>88228.29099999994</v>
      </c>
      <c r="E39" s="4">
        <v>3</v>
      </c>
      <c r="F39" s="4">
        <v>163</v>
      </c>
      <c r="G39" s="4">
        <v>396</v>
      </c>
      <c r="H39" s="3">
        <f t="shared" si="3"/>
        <v>2.4593732793698018</v>
      </c>
      <c r="I39" s="32">
        <f t="shared" si="4"/>
        <v>0.0038952506100994933</v>
      </c>
      <c r="J39">
        <f t="shared" si="5"/>
        <v>69</v>
      </c>
    </row>
    <row r="40" spans="1:10" ht="15">
      <c r="A40" t="s">
        <v>37</v>
      </c>
      <c r="B40" s="2">
        <v>251.05400000000026</v>
      </c>
      <c r="C40" s="102">
        <v>675</v>
      </c>
      <c r="D40" s="3">
        <v>169534.74700000003</v>
      </c>
      <c r="E40" s="4">
        <v>6</v>
      </c>
      <c r="F40" s="4">
        <v>179</v>
      </c>
      <c r="G40" s="4">
        <v>628</v>
      </c>
      <c r="H40" s="3">
        <f t="shared" si="3"/>
        <v>2.029728979635637</v>
      </c>
      <c r="I40" s="32">
        <f t="shared" si="4"/>
        <v>0.004341092547400037</v>
      </c>
      <c r="J40">
        <f t="shared" si="5"/>
        <v>50</v>
      </c>
    </row>
    <row r="41" spans="1:10" ht="15">
      <c r="A41" t="s">
        <v>38</v>
      </c>
      <c r="B41" s="2">
        <v>231.55199999999982</v>
      </c>
      <c r="C41" s="102">
        <v>725</v>
      </c>
      <c r="D41" s="3">
        <v>167780.78999999983</v>
      </c>
      <c r="E41" s="4">
        <v>3</v>
      </c>
      <c r="F41" s="4">
        <v>169</v>
      </c>
      <c r="G41" s="4">
        <v>480</v>
      </c>
      <c r="H41" s="3">
        <f t="shared" si="3"/>
        <v>1.5676031721518133</v>
      </c>
      <c r="I41" s="32">
        <f t="shared" si="4"/>
        <v>0.004036042800825981</v>
      </c>
      <c r="J41">
        <f t="shared" si="5"/>
        <v>23</v>
      </c>
    </row>
    <row r="42" spans="1:10" ht="15">
      <c r="A42" t="s">
        <v>39</v>
      </c>
      <c r="B42" s="2">
        <v>295.6529999999996</v>
      </c>
      <c r="C42" s="102">
        <v>423</v>
      </c>
      <c r="D42" s="3">
        <v>125171.09799999998</v>
      </c>
      <c r="E42" s="4">
        <v>6</v>
      </c>
      <c r="F42" s="4">
        <v>195</v>
      </c>
      <c r="G42" s="4">
        <v>629</v>
      </c>
      <c r="H42" s="3">
        <f t="shared" si="3"/>
        <v>2.753491339083527</v>
      </c>
      <c r="I42" s="32">
        <f t="shared" si="4"/>
        <v>0.004716538389337338</v>
      </c>
      <c r="J42">
        <f t="shared" si="5"/>
        <v>77</v>
      </c>
    </row>
    <row r="43" spans="1:10" ht="15">
      <c r="A43" t="s">
        <v>40</v>
      </c>
      <c r="B43" s="2">
        <v>259.38899999999984</v>
      </c>
      <c r="C43" s="102">
        <v>658</v>
      </c>
      <c r="D43" s="3">
        <v>170561.17900000003</v>
      </c>
      <c r="E43" s="4">
        <v>6</v>
      </c>
      <c r="F43" s="4">
        <v>250</v>
      </c>
      <c r="G43" s="4">
        <v>792</v>
      </c>
      <c r="H43" s="3">
        <f t="shared" si="3"/>
        <v>2.5443808801282146</v>
      </c>
      <c r="I43" s="32">
        <f t="shared" si="4"/>
        <v>0.006007133470996809</v>
      </c>
      <c r="J43">
        <f t="shared" si="5"/>
        <v>71</v>
      </c>
    </row>
    <row r="44" spans="1:10" ht="15">
      <c r="A44" t="s">
        <v>41</v>
      </c>
      <c r="B44" s="2">
        <v>406.529</v>
      </c>
      <c r="C44" s="102">
        <v>532</v>
      </c>
      <c r="D44" s="3">
        <v>216075.06199999983</v>
      </c>
      <c r="E44" s="4">
        <v>8</v>
      </c>
      <c r="F44" s="4">
        <v>267</v>
      </c>
      <c r="G44" s="4">
        <v>810</v>
      </c>
      <c r="H44" s="3">
        <f t="shared" si="3"/>
        <v>2.0540807084824833</v>
      </c>
      <c r="I44" s="32">
        <f t="shared" si="4"/>
        <v>0.006452975408297353</v>
      </c>
      <c r="J44">
        <f t="shared" si="5"/>
        <v>51</v>
      </c>
    </row>
    <row r="45" spans="1:10" ht="15">
      <c r="A45" t="s">
        <v>42</v>
      </c>
      <c r="B45" s="2">
        <v>150.39800000000008</v>
      </c>
      <c r="C45" s="102">
        <v>2468</v>
      </c>
      <c r="D45" s="3">
        <v>371246.50199999986</v>
      </c>
      <c r="E45" s="4">
        <v>6</v>
      </c>
      <c r="F45" s="4">
        <v>315</v>
      </c>
      <c r="G45" s="4">
        <v>1240</v>
      </c>
      <c r="H45" s="3">
        <f t="shared" si="3"/>
        <v>1.830191129435937</v>
      </c>
      <c r="I45" s="32">
        <f t="shared" si="4"/>
        <v>0.007532382203867092</v>
      </c>
      <c r="J45">
        <f t="shared" si="5"/>
        <v>45</v>
      </c>
    </row>
    <row r="46" spans="1:10" ht="15">
      <c r="A46" t="s">
        <v>43</v>
      </c>
      <c r="B46" s="2">
        <v>377.76599999999985</v>
      </c>
      <c r="C46" s="102">
        <v>595</v>
      </c>
      <c r="D46" s="3">
        <v>224731.72699999998</v>
      </c>
      <c r="E46" s="4">
        <v>2</v>
      </c>
      <c r="F46" s="4">
        <v>549</v>
      </c>
      <c r="G46" s="4">
        <v>1492</v>
      </c>
      <c r="H46" s="3">
        <f t="shared" si="3"/>
        <v>3.6378230056290293</v>
      </c>
      <c r="I46" s="32">
        <f t="shared" si="4"/>
        <v>0.012929416181715787</v>
      </c>
      <c r="J46">
        <f t="shared" si="5"/>
        <v>87</v>
      </c>
    </row>
    <row r="47" spans="1:10" ht="15">
      <c r="A47" t="s">
        <v>44</v>
      </c>
      <c r="B47" s="2">
        <v>426.6639999999997</v>
      </c>
      <c r="C47" s="102">
        <v>1193</v>
      </c>
      <c r="D47" s="3">
        <v>509171.8729999996</v>
      </c>
      <c r="E47" s="4">
        <v>16</v>
      </c>
      <c r="F47" s="4">
        <v>588</v>
      </c>
      <c r="G47" s="4">
        <v>1672</v>
      </c>
      <c r="H47" s="3">
        <f t="shared" si="3"/>
        <v>1.7993224530720386</v>
      </c>
      <c r="I47" s="32">
        <f t="shared" si="4"/>
        <v>0.014173080533133096</v>
      </c>
      <c r="J47">
        <f t="shared" si="5"/>
        <v>40</v>
      </c>
    </row>
    <row r="48" spans="1:10" ht="15">
      <c r="A48" t="s">
        <v>45</v>
      </c>
      <c r="B48" s="2">
        <v>371.706</v>
      </c>
      <c r="C48" s="102">
        <v>604</v>
      </c>
      <c r="D48" s="3">
        <v>224485.95300000015</v>
      </c>
      <c r="E48" s="4">
        <v>11</v>
      </c>
      <c r="F48" s="4">
        <v>234</v>
      </c>
      <c r="G48" s="4">
        <v>799</v>
      </c>
      <c r="H48" s="3">
        <f t="shared" si="3"/>
        <v>1.950269998310682</v>
      </c>
      <c r="I48" s="32">
        <f t="shared" si="4"/>
        <v>0.005749014454664914</v>
      </c>
      <c r="J48">
        <f t="shared" si="5"/>
        <v>48</v>
      </c>
    </row>
    <row r="49" spans="1:10" ht="15">
      <c r="A49" t="s">
        <v>46</v>
      </c>
      <c r="B49" s="2">
        <v>270.915</v>
      </c>
      <c r="C49" s="102">
        <v>2264</v>
      </c>
      <c r="D49" s="3">
        <v>613309.2959999999</v>
      </c>
      <c r="E49" s="4">
        <v>17</v>
      </c>
      <c r="F49" s="4">
        <v>670</v>
      </c>
      <c r="G49" s="4">
        <v>1758</v>
      </c>
      <c r="H49" s="3">
        <f t="shared" si="3"/>
        <v>1.5706392802382647</v>
      </c>
      <c r="I49" s="32">
        <f t="shared" si="4"/>
        <v>0.01612070583818284</v>
      </c>
      <c r="J49">
        <f t="shared" si="5"/>
        <v>24</v>
      </c>
    </row>
    <row r="50" spans="1:10" ht="15">
      <c r="A50" t="s">
        <v>47</v>
      </c>
      <c r="B50" s="2">
        <v>284.63499999999965</v>
      </c>
      <c r="C50" s="102">
        <v>2679</v>
      </c>
      <c r="D50" s="3">
        <v>762562.3349999996</v>
      </c>
      <c r="E50" s="4">
        <v>14</v>
      </c>
      <c r="F50" s="4">
        <v>1238</v>
      </c>
      <c r="G50" s="4">
        <v>3577</v>
      </c>
      <c r="H50" s="3">
        <f t="shared" si="3"/>
        <v>2.570281680644509</v>
      </c>
      <c r="I50" s="32">
        <f t="shared" si="4"/>
        <v>0.029378637131593766</v>
      </c>
      <c r="J50">
        <f t="shared" si="5"/>
        <v>73</v>
      </c>
    </row>
    <row r="51" spans="1:10" ht="15">
      <c r="A51" t="s">
        <v>48</v>
      </c>
      <c r="B51" s="2">
        <v>340.8449999999998</v>
      </c>
      <c r="C51" s="102">
        <v>532</v>
      </c>
      <c r="D51" s="3">
        <v>181232.68699999995</v>
      </c>
      <c r="E51" s="4">
        <v>7</v>
      </c>
      <c r="F51" s="4">
        <v>262</v>
      </c>
      <c r="G51" s="4">
        <v>626</v>
      </c>
      <c r="H51" s="3">
        <f t="shared" si="3"/>
        <v>1.892670159606126</v>
      </c>
      <c r="I51" s="32">
        <f t="shared" si="4"/>
        <v>0.006312183217570866</v>
      </c>
      <c r="J51">
        <f t="shared" si="5"/>
        <v>47</v>
      </c>
    </row>
    <row r="52" spans="1:10" ht="15">
      <c r="A52" t="s">
        <v>49</v>
      </c>
      <c r="B52" s="2">
        <v>492.018</v>
      </c>
      <c r="C52" s="102">
        <v>2586</v>
      </c>
      <c r="D52" s="3">
        <v>1272505.1010000007</v>
      </c>
      <c r="E52" s="4">
        <v>10</v>
      </c>
      <c r="F52" s="4">
        <v>1375</v>
      </c>
      <c r="G52" s="4">
        <v>4879</v>
      </c>
      <c r="H52" s="3">
        <f t="shared" si="3"/>
        <v>2.1009146882266565</v>
      </c>
      <c r="I52" s="32">
        <f t="shared" si="4"/>
        <v>0.03249953069269758</v>
      </c>
      <c r="J52">
        <f t="shared" si="5"/>
        <v>55</v>
      </c>
    </row>
    <row r="53" spans="1:10" ht="15">
      <c r="A53" t="s">
        <v>50</v>
      </c>
      <c r="B53" s="2">
        <v>382.9020000000002</v>
      </c>
      <c r="C53" s="102">
        <v>722</v>
      </c>
      <c r="D53" s="3">
        <v>276461.727</v>
      </c>
      <c r="E53" s="4">
        <v>10</v>
      </c>
      <c r="F53" s="4">
        <v>267</v>
      </c>
      <c r="G53" s="4">
        <v>770</v>
      </c>
      <c r="H53" s="3">
        <f t="shared" si="3"/>
        <v>1.5261346038657209</v>
      </c>
      <c r="I53" s="32">
        <f t="shared" si="4"/>
        <v>0.0064999061385395155</v>
      </c>
      <c r="J53">
        <f t="shared" si="5"/>
        <v>21</v>
      </c>
    </row>
    <row r="54" spans="1:10" ht="15">
      <c r="A54" t="s">
        <v>51</v>
      </c>
      <c r="B54" s="2">
        <v>326.8430000000003</v>
      </c>
      <c r="C54" s="102">
        <v>1842</v>
      </c>
      <c r="D54" s="3">
        <v>602175.0560000002</v>
      </c>
      <c r="E54" s="4">
        <v>12</v>
      </c>
      <c r="F54" s="4">
        <v>690</v>
      </c>
      <c r="G54" s="4">
        <v>1976</v>
      </c>
      <c r="H54" s="3">
        <f t="shared" si="3"/>
        <v>1.7980481178008094</v>
      </c>
      <c r="I54" s="32">
        <f t="shared" si="4"/>
        <v>0.016472686314999062</v>
      </c>
      <c r="J54">
        <f t="shared" si="5"/>
        <v>39</v>
      </c>
    </row>
    <row r="55" spans="1:10" ht="15">
      <c r="A55" t="s">
        <v>52</v>
      </c>
      <c r="B55" s="2">
        <v>259.859</v>
      </c>
      <c r="C55" s="102">
        <v>424</v>
      </c>
      <c r="D55" s="3">
        <v>110273.73200000002</v>
      </c>
      <c r="E55" s="4">
        <v>7</v>
      </c>
      <c r="F55" s="4">
        <v>138</v>
      </c>
      <c r="G55" s="4">
        <v>317</v>
      </c>
      <c r="H55" s="3">
        <f t="shared" si="3"/>
        <v>1.5751587162841851</v>
      </c>
      <c r="I55" s="32">
        <f t="shared" si="4"/>
        <v>0.003402477942556786</v>
      </c>
      <c r="J55">
        <f t="shared" si="5"/>
        <v>25</v>
      </c>
    </row>
    <row r="56" spans="1:10" ht="15">
      <c r="A56" t="s">
        <v>53</v>
      </c>
      <c r="B56" s="2">
        <v>394.0519999999995</v>
      </c>
      <c r="C56" s="102">
        <v>456</v>
      </c>
      <c r="D56" s="3">
        <v>179669.62799999982</v>
      </c>
      <c r="E56" s="4">
        <v>5</v>
      </c>
      <c r="F56" s="4">
        <v>146</v>
      </c>
      <c r="G56" s="4">
        <v>396</v>
      </c>
      <c r="H56" s="3">
        <f t="shared" si="3"/>
        <v>1.2076960573985451</v>
      </c>
      <c r="I56" s="32">
        <f t="shared" si="4"/>
        <v>0.003543270133283274</v>
      </c>
      <c r="J56">
        <f t="shared" si="5"/>
        <v>12</v>
      </c>
    </row>
    <row r="57" spans="1:10" ht="15">
      <c r="A57" t="s">
        <v>54</v>
      </c>
      <c r="B57" s="2">
        <v>423.8410000000001</v>
      </c>
      <c r="C57" s="102">
        <v>1168</v>
      </c>
      <c r="D57" s="3">
        <v>494925.85700000025</v>
      </c>
      <c r="E57" s="4">
        <v>16</v>
      </c>
      <c r="F57" s="4">
        <v>377</v>
      </c>
      <c r="G57" s="4">
        <v>1544</v>
      </c>
      <c r="H57" s="3">
        <f t="shared" si="3"/>
        <v>1.7094022979289878</v>
      </c>
      <c r="I57" s="32">
        <f t="shared" si="4"/>
        <v>0.009221888492584944</v>
      </c>
      <c r="J57">
        <f t="shared" si="5"/>
        <v>36</v>
      </c>
    </row>
    <row r="58" spans="1:10" ht="15">
      <c r="A58" t="s">
        <v>55</v>
      </c>
      <c r="B58" s="2">
        <v>371.3799999999997</v>
      </c>
      <c r="C58" s="102">
        <v>273</v>
      </c>
      <c r="D58" s="3">
        <v>101391.44000000005</v>
      </c>
      <c r="E58" s="4">
        <v>1</v>
      </c>
      <c r="F58" s="4">
        <v>58</v>
      </c>
      <c r="G58" s="4">
        <v>242</v>
      </c>
      <c r="H58" s="3">
        <f t="shared" si="3"/>
        <v>1.307829731247799</v>
      </c>
      <c r="I58" s="32">
        <f t="shared" si="4"/>
        <v>0.0013844565421437958</v>
      </c>
      <c r="J58">
        <f t="shared" si="5"/>
        <v>15</v>
      </c>
    </row>
    <row r="59" spans="1:10" ht="15">
      <c r="A59" t="s">
        <v>56</v>
      </c>
      <c r="B59" s="2">
        <v>320.80200000000013</v>
      </c>
      <c r="C59" s="102">
        <v>3035</v>
      </c>
      <c r="D59" s="3">
        <v>973713.8790000004</v>
      </c>
      <c r="E59" s="4">
        <v>31</v>
      </c>
      <c r="F59" s="4">
        <v>1717</v>
      </c>
      <c r="G59" s="4">
        <v>4576</v>
      </c>
      <c r="H59" s="3">
        <f t="shared" si="3"/>
        <v>2.5750862900804674</v>
      </c>
      <c r="I59" s="32">
        <f t="shared" si="4"/>
        <v>0.04101745823165009</v>
      </c>
      <c r="J59">
        <f t="shared" si="5"/>
        <v>75</v>
      </c>
    </row>
    <row r="60" spans="1:10" ht="15">
      <c r="A60" t="s">
        <v>57</v>
      </c>
      <c r="B60" s="2">
        <v>343.43299999999994</v>
      </c>
      <c r="C60" s="102">
        <v>299</v>
      </c>
      <c r="D60" s="3">
        <v>102519.74400000006</v>
      </c>
      <c r="E60" s="4">
        <v>1</v>
      </c>
      <c r="F60" s="4">
        <v>44</v>
      </c>
      <c r="G60" s="4">
        <v>154</v>
      </c>
      <c r="H60" s="3">
        <f t="shared" si="3"/>
        <v>0.823095711630294</v>
      </c>
      <c r="I60" s="32">
        <f t="shared" si="4"/>
        <v>0.0010559414304486577</v>
      </c>
      <c r="J60">
        <f t="shared" si="5"/>
        <v>3</v>
      </c>
    </row>
    <row r="61" spans="1:10" ht="15">
      <c r="A61" t="s">
        <v>58</v>
      </c>
      <c r="B61" s="2">
        <v>378.2799999999993</v>
      </c>
      <c r="C61" s="102">
        <v>461</v>
      </c>
      <c r="D61" s="3">
        <v>174200.20100000018</v>
      </c>
      <c r="E61" s="4">
        <v>2</v>
      </c>
      <c r="F61" s="4">
        <v>207</v>
      </c>
      <c r="G61" s="4">
        <v>576</v>
      </c>
      <c r="H61" s="3">
        <f t="shared" si="3"/>
        <v>1.8118029516863992</v>
      </c>
      <c r="I61" s="32">
        <f t="shared" si="4"/>
        <v>0.004904261310305988</v>
      </c>
      <c r="J61">
        <f t="shared" si="5"/>
        <v>44</v>
      </c>
    </row>
    <row r="62" spans="1:10" ht="15">
      <c r="A62" t="s">
        <v>59</v>
      </c>
      <c r="B62" s="2">
        <v>528.2629999999999</v>
      </c>
      <c r="C62" s="102">
        <v>556</v>
      </c>
      <c r="D62" s="3">
        <v>293973.85599999985</v>
      </c>
      <c r="E62" s="4">
        <v>2</v>
      </c>
      <c r="F62" s="4">
        <v>523</v>
      </c>
      <c r="G62" s="4">
        <v>1591</v>
      </c>
      <c r="H62" s="3">
        <f t="shared" si="3"/>
        <v>2.965504598877693</v>
      </c>
      <c r="I62" s="32">
        <f t="shared" si="4"/>
        <v>0.012319316688567674</v>
      </c>
      <c r="J62">
        <f t="shared" si="5"/>
        <v>80</v>
      </c>
    </row>
    <row r="63" spans="1:10" ht="15">
      <c r="A63" t="s">
        <v>60</v>
      </c>
      <c r="B63" s="2">
        <v>270.32</v>
      </c>
      <c r="C63" s="102">
        <v>280</v>
      </c>
      <c r="D63" s="3">
        <v>75571.63499999995</v>
      </c>
      <c r="E63" s="4">
        <v>1</v>
      </c>
      <c r="F63" s="4">
        <v>19</v>
      </c>
      <c r="G63" s="4">
        <v>74</v>
      </c>
      <c r="H63" s="3">
        <f t="shared" si="3"/>
        <v>0.5365497941850732</v>
      </c>
      <c r="I63" s="32">
        <f t="shared" si="4"/>
        <v>0.0004693073024216257</v>
      </c>
      <c r="J63">
        <f t="shared" si="5"/>
        <v>1</v>
      </c>
    </row>
    <row r="64" spans="1:10" ht="15">
      <c r="A64" t="s">
        <v>61</v>
      </c>
      <c r="B64" s="2">
        <v>163.01399999999992</v>
      </c>
      <c r="C64" s="102">
        <v>818</v>
      </c>
      <c r="D64" s="3">
        <v>133401.51299999992</v>
      </c>
      <c r="E64" s="4">
        <v>6</v>
      </c>
      <c r="F64" s="4">
        <v>185</v>
      </c>
      <c r="G64" s="4">
        <v>504</v>
      </c>
      <c r="H64" s="3">
        <f t="shared" si="3"/>
        <v>2.0701742982603504</v>
      </c>
      <c r="I64" s="32">
        <f t="shared" si="4"/>
        <v>0.004481884738126525</v>
      </c>
      <c r="J64">
        <f t="shared" si="5"/>
        <v>52</v>
      </c>
    </row>
    <row r="65" spans="1:10" ht="15">
      <c r="A65" t="s">
        <v>62</v>
      </c>
      <c r="B65" s="2">
        <v>331.522</v>
      </c>
      <c r="C65" s="102">
        <v>410</v>
      </c>
      <c r="D65" s="3">
        <v>136048.85299999997</v>
      </c>
      <c r="E65" s="4">
        <v>4</v>
      </c>
      <c r="F65" s="4">
        <v>97</v>
      </c>
      <c r="G65" s="4">
        <v>273</v>
      </c>
      <c r="H65" s="3">
        <f t="shared" si="3"/>
        <v>1.0995244560855684</v>
      </c>
      <c r="I65" s="32">
        <f t="shared" si="4"/>
        <v>0.00237000187722921</v>
      </c>
      <c r="J65">
        <f t="shared" si="5"/>
        <v>8</v>
      </c>
    </row>
    <row r="66" spans="1:10" ht="15">
      <c r="A66" t="s">
        <v>63</v>
      </c>
      <c r="B66" s="2">
        <v>325.76700000000005</v>
      </c>
      <c r="C66" s="102">
        <v>397</v>
      </c>
      <c r="D66" s="3">
        <v>129480.42100000007</v>
      </c>
      <c r="E66" s="4">
        <v>5</v>
      </c>
      <c r="F66" s="4">
        <v>263</v>
      </c>
      <c r="G66" s="4">
        <v>670</v>
      </c>
      <c r="H66" s="3">
        <f t="shared" si="3"/>
        <v>2.835357537733312</v>
      </c>
      <c r="I66" s="32">
        <f t="shared" si="4"/>
        <v>0.0062887178524497845</v>
      </c>
      <c r="J66">
        <f t="shared" si="5"/>
        <v>78</v>
      </c>
    </row>
    <row r="67" spans="1:10" ht="15">
      <c r="A67" t="s">
        <v>64</v>
      </c>
      <c r="B67" s="2">
        <v>232.25199999999992</v>
      </c>
      <c r="C67" s="102">
        <v>954</v>
      </c>
      <c r="D67" s="3">
        <v>221572.382</v>
      </c>
      <c r="E67" s="4">
        <v>13</v>
      </c>
      <c r="F67" s="4">
        <v>289</v>
      </c>
      <c r="G67" s="4">
        <v>883</v>
      </c>
      <c r="H67" s="3">
        <f aca="true" t="shared" si="6" ref="H67:H90">G67*1000000/(5*365*B67*D67/B67)</f>
        <v>2.183645868095403</v>
      </c>
      <c r="I67" s="32">
        <f aca="true" t="shared" si="7" ref="I67:I90">SUM($E67:$F67)/SUM($E$3:$F$90)</f>
        <v>0.007086540266566548</v>
      </c>
      <c r="J67">
        <f aca="true" t="shared" si="8" ref="J67:J90">_xlfn.RANK.AVG(H67,H$1:H$65536,1)</f>
        <v>59</v>
      </c>
    </row>
    <row r="68" spans="1:10" ht="15">
      <c r="A68" t="s">
        <v>65</v>
      </c>
      <c r="B68" s="2">
        <v>329.07100000000014</v>
      </c>
      <c r="C68" s="102">
        <v>422</v>
      </c>
      <c r="D68" s="3">
        <v>138883.2069999999</v>
      </c>
      <c r="E68" s="4">
        <v>6</v>
      </c>
      <c r="F68" s="4">
        <v>256</v>
      </c>
      <c r="G68" s="4">
        <v>730</v>
      </c>
      <c r="H68" s="3">
        <f t="shared" si="6"/>
        <v>2.880117824468153</v>
      </c>
      <c r="I68" s="32">
        <f t="shared" si="7"/>
        <v>0.006147925661723296</v>
      </c>
      <c r="J68">
        <f t="shared" si="8"/>
        <v>79</v>
      </c>
    </row>
    <row r="69" spans="1:10" ht="15">
      <c r="A69" t="s">
        <v>66</v>
      </c>
      <c r="B69" s="2">
        <v>369.7760000000001</v>
      </c>
      <c r="C69" s="102">
        <v>1481</v>
      </c>
      <c r="D69" s="3">
        <v>547701.4870000003</v>
      </c>
      <c r="E69" s="4">
        <v>4</v>
      </c>
      <c r="F69" s="4">
        <v>679</v>
      </c>
      <c r="G69" s="4">
        <v>2007</v>
      </c>
      <c r="H69" s="3">
        <f t="shared" si="6"/>
        <v>2.0078930831846726</v>
      </c>
      <c r="I69" s="32">
        <f t="shared" si="7"/>
        <v>0.016026844377698517</v>
      </c>
      <c r="J69">
        <f t="shared" si="8"/>
        <v>49</v>
      </c>
    </row>
    <row r="70" spans="1:10" ht="15">
      <c r="A70" t="s">
        <v>67</v>
      </c>
      <c r="B70" s="2">
        <v>266.814</v>
      </c>
      <c r="C70" s="102">
        <v>631</v>
      </c>
      <c r="D70" s="3">
        <v>168376.46300000013</v>
      </c>
      <c r="E70" s="4">
        <v>12</v>
      </c>
      <c r="F70" s="4">
        <v>200</v>
      </c>
      <c r="G70" s="4">
        <v>555</v>
      </c>
      <c r="H70" s="3">
        <f t="shared" si="6"/>
        <v>1.8061288592402354</v>
      </c>
      <c r="I70" s="32">
        <f t="shared" si="7"/>
        <v>0.004974657405669232</v>
      </c>
      <c r="J70">
        <f t="shared" si="8"/>
        <v>42</v>
      </c>
    </row>
    <row r="71" spans="1:10" ht="15">
      <c r="A71" t="s">
        <v>68</v>
      </c>
      <c r="B71" s="2">
        <v>331.20699999999994</v>
      </c>
      <c r="C71" s="102">
        <v>559</v>
      </c>
      <c r="D71" s="3">
        <v>185255.758</v>
      </c>
      <c r="E71" s="4">
        <v>2</v>
      </c>
      <c r="F71" s="4">
        <v>109</v>
      </c>
      <c r="G71" s="4">
        <v>268</v>
      </c>
      <c r="H71" s="3">
        <f t="shared" si="6"/>
        <v>0.7926842148058532</v>
      </c>
      <c r="I71" s="32">
        <f t="shared" si="7"/>
        <v>0.0026046555284400226</v>
      </c>
      <c r="J71">
        <f t="shared" si="8"/>
        <v>2</v>
      </c>
    </row>
    <row r="72" spans="1:10" ht="15">
      <c r="A72" t="s">
        <v>69</v>
      </c>
      <c r="B72" s="2">
        <v>345.9329999999999</v>
      </c>
      <c r="C72" s="102">
        <v>1084</v>
      </c>
      <c r="D72" s="3">
        <v>374882.701</v>
      </c>
      <c r="E72" s="4">
        <v>3</v>
      </c>
      <c r="F72" s="4">
        <v>522</v>
      </c>
      <c r="G72" s="4">
        <v>1550</v>
      </c>
      <c r="H72" s="3">
        <f t="shared" si="6"/>
        <v>2.2655488402841795</v>
      </c>
      <c r="I72" s="32">
        <f t="shared" si="7"/>
        <v>0.012319316688567674</v>
      </c>
      <c r="J72">
        <f t="shared" si="8"/>
        <v>63</v>
      </c>
    </row>
    <row r="73" spans="1:10" ht="15">
      <c r="A73" t="s">
        <v>70</v>
      </c>
      <c r="B73" s="2">
        <v>407.3200000000001</v>
      </c>
      <c r="C73" s="102">
        <v>767</v>
      </c>
      <c r="D73" s="3">
        <v>312609.491</v>
      </c>
      <c r="E73" s="4">
        <v>19</v>
      </c>
      <c r="F73" s="4">
        <v>669</v>
      </c>
      <c r="G73" s="4">
        <v>1801</v>
      </c>
      <c r="H73" s="3">
        <f t="shared" si="6"/>
        <v>3.156811752297352</v>
      </c>
      <c r="I73" s="32">
        <f t="shared" si="7"/>
        <v>0.016144171203303925</v>
      </c>
      <c r="J73">
        <f t="shared" si="8"/>
        <v>82</v>
      </c>
    </row>
    <row r="74" spans="1:10" ht="15">
      <c r="A74" t="s">
        <v>71</v>
      </c>
      <c r="B74" s="2">
        <v>313.3349999999999</v>
      </c>
      <c r="C74" s="102">
        <v>718</v>
      </c>
      <c r="D74" s="3">
        <v>225124.15599999996</v>
      </c>
      <c r="E74" s="4">
        <v>11</v>
      </c>
      <c r="F74" s="4">
        <v>238</v>
      </c>
      <c r="G74" s="4">
        <v>678</v>
      </c>
      <c r="H74" s="3">
        <f t="shared" si="6"/>
        <v>1.6502309477400927</v>
      </c>
      <c r="I74" s="32">
        <f t="shared" si="7"/>
        <v>0.005842875915149239</v>
      </c>
      <c r="J74">
        <f t="shared" si="8"/>
        <v>32</v>
      </c>
    </row>
    <row r="75" spans="1:10" ht="15">
      <c r="A75" t="s">
        <v>72</v>
      </c>
      <c r="B75" s="2">
        <v>414.97999999999956</v>
      </c>
      <c r="C75" s="102">
        <v>705</v>
      </c>
      <c r="D75" s="3">
        <v>292484.135</v>
      </c>
      <c r="E75" s="4">
        <v>14</v>
      </c>
      <c r="F75" s="4">
        <v>672</v>
      </c>
      <c r="G75" s="4">
        <v>1928</v>
      </c>
      <c r="H75" s="3">
        <f t="shared" si="6"/>
        <v>3.6119509735609543</v>
      </c>
      <c r="I75" s="32">
        <f t="shared" si="7"/>
        <v>0.016097240473061762</v>
      </c>
      <c r="J75">
        <f t="shared" si="8"/>
        <v>86</v>
      </c>
    </row>
    <row r="76" spans="1:10" ht="15">
      <c r="A76" t="s">
        <v>73</v>
      </c>
      <c r="B76" s="2">
        <v>393.5250000000002</v>
      </c>
      <c r="C76" s="102">
        <v>501</v>
      </c>
      <c r="D76" s="3">
        <v>197072.17200000002</v>
      </c>
      <c r="E76" s="4">
        <v>6</v>
      </c>
      <c r="F76" s="4">
        <v>225</v>
      </c>
      <c r="G76" s="4">
        <v>555</v>
      </c>
      <c r="H76" s="3">
        <f t="shared" si="6"/>
        <v>1.5431381607804873</v>
      </c>
      <c r="I76" s="32">
        <f t="shared" si="7"/>
        <v>0.005420499342969776</v>
      </c>
      <c r="J76">
        <f t="shared" si="8"/>
        <v>22</v>
      </c>
    </row>
    <row r="77" spans="1:10" ht="15">
      <c r="A77" t="s">
        <v>74</v>
      </c>
      <c r="B77" s="2">
        <v>409.4109999999994</v>
      </c>
      <c r="C77" s="102">
        <v>675</v>
      </c>
      <c r="D77" s="3">
        <v>276232.89399999985</v>
      </c>
      <c r="E77" s="4">
        <v>9</v>
      </c>
      <c r="F77" s="4">
        <v>275</v>
      </c>
      <c r="G77" s="4">
        <v>815</v>
      </c>
      <c r="H77" s="3">
        <f t="shared" si="6"/>
        <v>1.6166624329170358</v>
      </c>
      <c r="I77" s="32">
        <f t="shared" si="7"/>
        <v>0.006664163694387085</v>
      </c>
      <c r="J77">
        <f t="shared" si="8"/>
        <v>30</v>
      </c>
    </row>
    <row r="78" spans="1:10" ht="15">
      <c r="A78" t="s">
        <v>75</v>
      </c>
      <c r="B78" s="2">
        <v>408.07800000000043</v>
      </c>
      <c r="C78" s="102">
        <v>3635</v>
      </c>
      <c r="D78" s="3">
        <v>1483537.2359999993</v>
      </c>
      <c r="E78" s="4">
        <v>41</v>
      </c>
      <c r="F78" s="4">
        <v>2509</v>
      </c>
      <c r="G78" s="4">
        <v>9585</v>
      </c>
      <c r="H78" s="3">
        <f t="shared" si="6"/>
        <v>3.54022444942565</v>
      </c>
      <c r="I78" s="32">
        <f t="shared" si="7"/>
        <v>0.05983668105875727</v>
      </c>
      <c r="J78">
        <f t="shared" si="8"/>
        <v>84</v>
      </c>
    </row>
    <row r="79" spans="1:10" ht="15">
      <c r="A79" t="s">
        <v>76</v>
      </c>
      <c r="B79" s="2">
        <v>177.65900000000008</v>
      </c>
      <c r="C79" s="102">
        <v>4015</v>
      </c>
      <c r="D79" s="3">
        <v>713269.9910000002</v>
      </c>
      <c r="E79" s="4">
        <v>17</v>
      </c>
      <c r="F79" s="4">
        <v>818</v>
      </c>
      <c r="G79" s="4">
        <v>3052</v>
      </c>
      <c r="H79" s="3">
        <f t="shared" si="6"/>
        <v>2.3445943166327425</v>
      </c>
      <c r="I79" s="32">
        <f t="shared" si="7"/>
        <v>0.01959357987610287</v>
      </c>
      <c r="J79">
        <f t="shared" si="8"/>
        <v>64</v>
      </c>
    </row>
    <row r="80" spans="1:10" ht="15">
      <c r="A80" t="s">
        <v>77</v>
      </c>
      <c r="B80" s="2">
        <v>453.77200000000005</v>
      </c>
      <c r="C80" s="102">
        <v>1710</v>
      </c>
      <c r="D80" s="3">
        <v>775946.2159999994</v>
      </c>
      <c r="E80" s="4">
        <v>12</v>
      </c>
      <c r="F80" s="4">
        <v>1005</v>
      </c>
      <c r="G80" s="4">
        <v>3149</v>
      </c>
      <c r="H80" s="3">
        <f t="shared" si="6"/>
        <v>2.2237101186595587</v>
      </c>
      <c r="I80" s="32">
        <f t="shared" si="7"/>
        <v>0.023864276328139665</v>
      </c>
      <c r="J80">
        <f t="shared" si="8"/>
        <v>62</v>
      </c>
    </row>
    <row r="81" spans="1:10" ht="15">
      <c r="A81" t="s">
        <v>78</v>
      </c>
      <c r="B81" s="2">
        <v>463.15699999999964</v>
      </c>
      <c r="C81" s="102">
        <v>596</v>
      </c>
      <c r="D81" s="3">
        <v>275930.0759999999</v>
      </c>
      <c r="E81" s="4">
        <v>15</v>
      </c>
      <c r="F81" s="4">
        <v>577</v>
      </c>
      <c r="G81" s="4">
        <v>1542</v>
      </c>
      <c r="H81" s="3">
        <f t="shared" si="6"/>
        <v>3.0621218212157326</v>
      </c>
      <c r="I81" s="32">
        <f t="shared" si="7"/>
        <v>0.01389149615168012</v>
      </c>
      <c r="J81">
        <f t="shared" si="8"/>
        <v>81</v>
      </c>
    </row>
    <row r="82" spans="1:10" ht="15">
      <c r="A82" t="s">
        <v>79</v>
      </c>
      <c r="B82" s="2">
        <v>465.0910000000001</v>
      </c>
      <c r="C82" s="102">
        <v>791</v>
      </c>
      <c r="D82" s="3">
        <v>367680.4269999998</v>
      </c>
      <c r="E82" s="4">
        <v>7</v>
      </c>
      <c r="F82" s="4">
        <v>238</v>
      </c>
      <c r="G82" s="4">
        <v>793</v>
      </c>
      <c r="H82" s="3">
        <f t="shared" si="6"/>
        <v>1.1817886295731639</v>
      </c>
      <c r="I82" s="32">
        <f t="shared" si="7"/>
        <v>0.005749014454664914</v>
      </c>
      <c r="J82">
        <f t="shared" si="8"/>
        <v>11</v>
      </c>
    </row>
    <row r="83" spans="1:10" ht="15">
      <c r="A83" t="s">
        <v>80</v>
      </c>
      <c r="B83" s="2">
        <v>267.484</v>
      </c>
      <c r="C83" s="102">
        <v>566</v>
      </c>
      <c r="D83" s="3">
        <v>151405.22599999994</v>
      </c>
      <c r="E83" s="4">
        <v>3</v>
      </c>
      <c r="F83" s="4">
        <v>102</v>
      </c>
      <c r="G83" s="4">
        <v>277</v>
      </c>
      <c r="H83" s="3">
        <f t="shared" si="6"/>
        <v>1.0024807328500553</v>
      </c>
      <c r="I83" s="32">
        <f t="shared" si="7"/>
        <v>0.002463863337713535</v>
      </c>
      <c r="J83">
        <f t="shared" si="8"/>
        <v>6</v>
      </c>
    </row>
    <row r="84" spans="1:10" ht="15">
      <c r="A84" t="s">
        <v>81</v>
      </c>
      <c r="B84" s="2">
        <v>198.82999999999998</v>
      </c>
      <c r="C84" s="102">
        <v>285</v>
      </c>
      <c r="D84" s="3">
        <v>56761.75999999999</v>
      </c>
      <c r="E84" s="4">
        <v>4</v>
      </c>
      <c r="F84" s="4">
        <v>86</v>
      </c>
      <c r="G84" s="4">
        <v>222</v>
      </c>
      <c r="H84" s="3">
        <f t="shared" si="6"/>
        <v>2.1430596164819127</v>
      </c>
      <c r="I84" s="32">
        <f t="shared" si="7"/>
        <v>0.0021118828608973155</v>
      </c>
      <c r="J84">
        <f t="shared" si="8"/>
        <v>56</v>
      </c>
    </row>
    <row r="85" spans="1:10" ht="15">
      <c r="A85" t="s">
        <v>82</v>
      </c>
      <c r="B85" s="2">
        <v>272.4819999999999</v>
      </c>
      <c r="C85" s="102">
        <v>2575</v>
      </c>
      <c r="D85" s="3">
        <v>701638.0919999996</v>
      </c>
      <c r="E85" s="4">
        <v>8</v>
      </c>
      <c r="F85" s="4">
        <v>1153</v>
      </c>
      <c r="G85" s="4">
        <v>4385</v>
      </c>
      <c r="H85" s="3">
        <f t="shared" si="6"/>
        <v>3.42447160925721</v>
      </c>
      <c r="I85" s="32">
        <f t="shared" si="7"/>
        <v>0.02724328890557537</v>
      </c>
      <c r="J85">
        <f t="shared" si="8"/>
        <v>83</v>
      </c>
    </row>
    <row r="86" spans="1:10" ht="15">
      <c r="A86" t="s">
        <v>83</v>
      </c>
      <c r="B86" s="2">
        <v>338.5459999999996</v>
      </c>
      <c r="C86" s="102">
        <v>419</v>
      </c>
      <c r="D86" s="3">
        <v>141971.93900000007</v>
      </c>
      <c r="E86" s="4">
        <v>5</v>
      </c>
      <c r="F86" s="4">
        <v>221</v>
      </c>
      <c r="G86" s="4">
        <v>626</v>
      </c>
      <c r="H86" s="3">
        <f t="shared" si="6"/>
        <v>2.4160668724129826</v>
      </c>
      <c r="I86" s="32">
        <f t="shared" si="7"/>
        <v>0.00530317251736437</v>
      </c>
      <c r="J86">
        <f t="shared" si="8"/>
        <v>65</v>
      </c>
    </row>
    <row r="87" spans="1:10" ht="15">
      <c r="A87" t="s">
        <v>84</v>
      </c>
      <c r="B87" s="2">
        <v>505.7419999999996</v>
      </c>
      <c r="C87" s="102">
        <v>1107</v>
      </c>
      <c r="D87" s="3">
        <v>560070.1170000003</v>
      </c>
      <c r="E87" s="4">
        <v>18</v>
      </c>
      <c r="F87" s="4">
        <v>851</v>
      </c>
      <c r="G87" s="4">
        <v>2203</v>
      </c>
      <c r="H87" s="3">
        <f t="shared" si="6"/>
        <v>2.155307435678151</v>
      </c>
      <c r="I87" s="32">
        <f t="shared" si="7"/>
        <v>0.020391402290219636</v>
      </c>
      <c r="J87">
        <f t="shared" si="8"/>
        <v>57</v>
      </c>
    </row>
    <row r="88" spans="1:10" ht="15">
      <c r="A88" t="s">
        <v>85</v>
      </c>
      <c r="B88" s="2">
        <v>399.6799999999999</v>
      </c>
      <c r="C88" s="102">
        <v>421</v>
      </c>
      <c r="D88" s="3">
        <v>168238.39099999995</v>
      </c>
      <c r="E88" s="4">
        <v>4</v>
      </c>
      <c r="F88" s="4">
        <v>190</v>
      </c>
      <c r="G88" s="4">
        <v>556</v>
      </c>
      <c r="H88" s="3">
        <f t="shared" si="6"/>
        <v>1.8108680928039516</v>
      </c>
      <c r="I88" s="32">
        <f t="shared" si="7"/>
        <v>0.004552280833489769</v>
      </c>
      <c r="J88">
        <f t="shared" si="8"/>
        <v>43</v>
      </c>
    </row>
    <row r="89" spans="1:10" ht="15">
      <c r="A89" t="s">
        <v>86</v>
      </c>
      <c r="B89" s="2">
        <v>242.92900000000003</v>
      </c>
      <c r="C89" s="102">
        <v>1086</v>
      </c>
      <c r="D89" s="3">
        <v>263717.71499999997</v>
      </c>
      <c r="E89" s="4">
        <v>10</v>
      </c>
      <c r="F89" s="4">
        <v>297</v>
      </c>
      <c r="G89" s="4">
        <v>866</v>
      </c>
      <c r="H89" s="3">
        <f t="shared" si="6"/>
        <v>1.799350293722989</v>
      </c>
      <c r="I89" s="32">
        <f t="shared" si="7"/>
        <v>0.007203867092171954</v>
      </c>
      <c r="J89">
        <f t="shared" si="8"/>
        <v>41</v>
      </c>
    </row>
    <row r="90" spans="1:10" ht="15">
      <c r="A90" t="s">
        <v>87</v>
      </c>
      <c r="B90" s="2">
        <v>322.621</v>
      </c>
      <c r="C90" s="102">
        <v>347</v>
      </c>
      <c r="D90" s="3">
        <v>112013.70999999998</v>
      </c>
      <c r="E90" s="4">
        <v>2</v>
      </c>
      <c r="F90" s="4">
        <v>74</v>
      </c>
      <c r="G90" s="4">
        <v>191</v>
      </c>
      <c r="H90" s="3">
        <f t="shared" si="6"/>
        <v>0.934327898313299</v>
      </c>
      <c r="I90" s="32">
        <f t="shared" si="7"/>
        <v>0.0017833677492021776</v>
      </c>
      <c r="J90">
        <f t="shared" si="8"/>
        <v>5</v>
      </c>
    </row>
    <row r="91" spans="3:4" ht="15">
      <c r="C91" s="102"/>
      <c r="D91" s="100"/>
    </row>
  </sheetData>
  <sheetProtection/>
  <autoFilter ref="A2:J90"/>
  <printOptions/>
  <pageMargins left="0.7" right="0.7" top="0.75" bottom="0.75" header="0.3" footer="0.3"/>
  <pageSetup fitToHeight="1" fitToWidth="1" horizontalDpi="600" verticalDpi="600" orientation="portrait" paperSize="17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92"/>
  <sheetViews>
    <sheetView zoomScalePageLayoutView="0" workbookViewId="0" topLeftCell="A1">
      <selection activeCell="M4" sqref="M4"/>
    </sheetView>
  </sheetViews>
  <sheetFormatPr defaultColWidth="9.140625" defaultRowHeight="15"/>
  <cols>
    <col min="2" max="2" width="9.28125" style="0" bestFit="1" customWidth="1"/>
    <col min="3" max="3" width="10.57421875" style="0" bestFit="1" customWidth="1"/>
    <col min="4" max="4" width="13.8515625" style="0" bestFit="1" customWidth="1"/>
    <col min="5" max="10" width="11.7109375" style="0" customWidth="1"/>
    <col min="11" max="12" width="9.28125" style="4" bestFit="1" customWidth="1"/>
    <col min="13" max="13" width="11.7109375" style="0" customWidth="1"/>
    <col min="14" max="14" width="9.28125" style="4" bestFit="1" customWidth="1"/>
    <col min="15" max="16" width="9.28125" style="4" customWidth="1"/>
    <col min="18" max="24" width="9.140625" style="0" customWidth="1"/>
  </cols>
  <sheetData>
    <row r="1" spans="5:30" ht="15" customHeight="1">
      <c r="E1" s="147" t="s">
        <v>161</v>
      </c>
      <c r="F1" s="147"/>
      <c r="G1" s="147"/>
      <c r="H1" s="147"/>
      <c r="I1" s="147"/>
      <c r="J1" s="147"/>
      <c r="K1" s="147" t="s">
        <v>162</v>
      </c>
      <c r="L1" s="147"/>
      <c r="M1" s="147"/>
      <c r="N1" s="147"/>
      <c r="O1" s="147"/>
      <c r="P1" s="147"/>
      <c r="Z1" s="38"/>
      <c r="AA1" s="1"/>
      <c r="AB1" s="1"/>
      <c r="AC1" s="1"/>
      <c r="AD1" s="1"/>
    </row>
    <row r="2" spans="2:30" ht="32.25" customHeight="1">
      <c r="B2" s="101" t="e">
        <f>VLOOKUP($A2,'County Totals'!$A:$D,2,FALSE)</f>
        <v>#N/A</v>
      </c>
      <c r="C2" s="101" t="e">
        <f>VLOOKUP($A2,'County Totals'!$A:$D,3,FALSE)</f>
        <v>#N/A</v>
      </c>
      <c r="D2" s="101" t="e">
        <f>VLOOKUP($A2,'County Totals'!$A:$D,4,FALSE)</f>
        <v>#N/A</v>
      </c>
      <c r="E2" s="147" t="s">
        <v>123</v>
      </c>
      <c r="F2" s="147"/>
      <c r="G2" s="147"/>
      <c r="H2" s="147"/>
      <c r="I2" s="147"/>
      <c r="J2" s="147"/>
      <c r="K2" s="147" t="s">
        <v>156</v>
      </c>
      <c r="L2" s="147"/>
      <c r="M2" s="147"/>
      <c r="N2" s="147"/>
      <c r="O2" s="147"/>
      <c r="P2" s="147"/>
      <c r="Z2" s="38"/>
      <c r="AA2" s="1"/>
      <c r="AB2" s="1"/>
      <c r="AC2" s="1"/>
      <c r="AD2" s="1"/>
    </row>
    <row r="3" spans="1:30" ht="115.5">
      <c r="A3" s="5" t="s">
        <v>88</v>
      </c>
      <c r="B3" s="5" t="s">
        <v>190</v>
      </c>
      <c r="C3" s="5" t="s">
        <v>90</v>
      </c>
      <c r="D3" s="5" t="s">
        <v>89</v>
      </c>
      <c r="E3" s="6" t="s">
        <v>93</v>
      </c>
      <c r="F3" s="6" t="s">
        <v>94</v>
      </c>
      <c r="G3" s="6" t="s">
        <v>92</v>
      </c>
      <c r="H3" s="5" t="s">
        <v>91</v>
      </c>
      <c r="I3" s="5" t="s">
        <v>115</v>
      </c>
      <c r="J3" s="5" t="s">
        <v>154</v>
      </c>
      <c r="K3" s="6" t="s">
        <v>93</v>
      </c>
      <c r="L3" s="6" t="s">
        <v>94</v>
      </c>
      <c r="M3" s="6" t="s">
        <v>92</v>
      </c>
      <c r="N3" s="5" t="s">
        <v>91</v>
      </c>
      <c r="O3" s="5" t="s">
        <v>115</v>
      </c>
      <c r="P3" s="5" t="s">
        <v>154</v>
      </c>
      <c r="Z3" s="38"/>
      <c r="AA3" s="1"/>
      <c r="AB3" s="1"/>
      <c r="AC3" s="1"/>
      <c r="AD3" s="1"/>
    </row>
    <row r="4" spans="1:30" ht="15">
      <c r="A4" t="s">
        <v>0</v>
      </c>
      <c r="B4" s="2">
        <f>VLOOKUP($A4,'County Totals'!$A:$D,2,FALSE)</f>
        <v>374.96000000000026</v>
      </c>
      <c r="C4" s="2">
        <f>VLOOKUP($A4,'County Totals'!$A:$D,3,FALSE)</f>
        <v>346</v>
      </c>
      <c r="D4" s="2">
        <f>VLOOKUP($A4,'County Totals'!$A:$D,4,FALSE)</f>
        <v>129830.38699999993</v>
      </c>
      <c r="E4" s="4">
        <v>1</v>
      </c>
      <c r="F4" s="4">
        <v>93</v>
      </c>
      <c r="G4" s="4">
        <v>241</v>
      </c>
      <c r="H4" s="3">
        <f aca="true" t="shared" si="0" ref="H4:H35">G4*1000000/(5*365*$B4*$D4/$B4)</f>
        <v>1.0171331810059845</v>
      </c>
      <c r="I4" s="32">
        <f>SUM(E4:F4)/SUM('County Totals'!$E3:$F3)</f>
        <v>0.49214659685863876</v>
      </c>
      <c r="J4">
        <f aca="true" t="shared" si="1" ref="J4:J35">_xlfn.RANK.AVG(H4,H$1:H$65536,1)</f>
        <v>71</v>
      </c>
      <c r="K4" s="1">
        <v>0</v>
      </c>
      <c r="L4" s="1">
        <v>1</v>
      </c>
      <c r="M4" s="1">
        <v>15</v>
      </c>
      <c r="N4" s="3">
        <f aca="true" t="shared" si="2" ref="N4:N35">M4*1000000/(5*365*$B4*$D4/$B4)</f>
        <v>0.0633070444609534</v>
      </c>
      <c r="O4" s="32">
        <f>SUM(K4:L4)/SUM('County Totals'!$E3:$F3)</f>
        <v>0.005235602094240838</v>
      </c>
      <c r="P4">
        <f aca="true" t="shared" si="3" ref="P4:P35">_xlfn.RANK.AVG(N4,N$1:N$65536,1)</f>
        <v>63</v>
      </c>
      <c r="Q4" s="1"/>
      <c r="R4" s="1"/>
      <c r="Y4" s="38"/>
      <c r="Z4" s="38"/>
      <c r="AA4" s="1"/>
      <c r="AB4" s="1"/>
      <c r="AC4" s="1"/>
      <c r="AD4" s="1"/>
    </row>
    <row r="5" spans="1:30" ht="15">
      <c r="A5" t="s">
        <v>1</v>
      </c>
      <c r="B5" s="2">
        <f>VLOOKUP($A5,'County Totals'!$A:$D,2,FALSE)</f>
        <v>353.2279999999997</v>
      </c>
      <c r="C5" s="2">
        <f>VLOOKUP($A5,'County Totals'!$A:$D,3,FALSE)</f>
        <v>1581</v>
      </c>
      <c r="D5" s="2">
        <f>VLOOKUP($A5,'County Totals'!$A:$D,4,FALSE)</f>
        <v>558441.7940000001</v>
      </c>
      <c r="E5" s="4">
        <v>6</v>
      </c>
      <c r="F5" s="4">
        <v>133</v>
      </c>
      <c r="G5" s="4">
        <v>439</v>
      </c>
      <c r="H5" s="3">
        <f t="shared" si="0"/>
        <v>0.4307484643699132</v>
      </c>
      <c r="I5" s="32">
        <f>SUM(E5:F5)/SUM('County Totals'!$E4:$F4)</f>
        <v>0.1963276836158192</v>
      </c>
      <c r="J5">
        <f t="shared" si="1"/>
        <v>17</v>
      </c>
      <c r="K5" s="1">
        <v>0</v>
      </c>
      <c r="L5" s="1">
        <v>6</v>
      </c>
      <c r="M5" s="1">
        <v>12</v>
      </c>
      <c r="N5" s="3">
        <f t="shared" si="2"/>
        <v>0.011774445495305144</v>
      </c>
      <c r="O5" s="32">
        <f>SUM(K5:L5)/SUM('County Totals'!$E4:$F4)</f>
        <v>0.00847457627118644</v>
      </c>
      <c r="P5">
        <f t="shared" si="3"/>
        <v>2</v>
      </c>
      <c r="Q5" s="1"/>
      <c r="R5" s="1"/>
      <c r="Y5" s="38"/>
      <c r="Z5" s="38"/>
      <c r="AA5" s="1"/>
      <c r="AB5" s="1"/>
      <c r="AC5" s="1"/>
      <c r="AD5" s="1"/>
    </row>
    <row r="6" spans="1:30" ht="15">
      <c r="A6" t="s">
        <v>2</v>
      </c>
      <c r="B6" s="2">
        <f>VLOOKUP($A6,'County Totals'!$A:$D,2,FALSE)</f>
        <v>285.55899999999997</v>
      </c>
      <c r="C6" s="2">
        <f>VLOOKUP($A6,'County Totals'!$A:$D,3,FALSE)</f>
        <v>529</v>
      </c>
      <c r="D6" s="2">
        <f>VLOOKUP($A6,'County Totals'!$A:$D,4,FALSE)</f>
        <v>151139.74200000017</v>
      </c>
      <c r="E6" s="4">
        <v>1</v>
      </c>
      <c r="F6" s="4">
        <v>78</v>
      </c>
      <c r="G6" s="4">
        <v>206</v>
      </c>
      <c r="H6" s="3">
        <f t="shared" si="0"/>
        <v>0.7468367408538185</v>
      </c>
      <c r="I6" s="32">
        <f>SUM(E6:F6)/SUM('County Totals'!$E5:$F5)</f>
        <v>0.4072164948453608</v>
      </c>
      <c r="J6">
        <f t="shared" si="1"/>
        <v>55</v>
      </c>
      <c r="K6" s="1">
        <v>1</v>
      </c>
      <c r="L6" s="1">
        <v>5</v>
      </c>
      <c r="M6" s="1">
        <v>21</v>
      </c>
      <c r="N6" s="3">
        <f t="shared" si="2"/>
        <v>0.07613384251422421</v>
      </c>
      <c r="O6" s="32">
        <f>SUM(K6:L6)/SUM('County Totals'!$E5:$F5)</f>
        <v>0.030927835051546393</v>
      </c>
      <c r="P6">
        <f t="shared" si="3"/>
        <v>68</v>
      </c>
      <c r="Q6" s="1"/>
      <c r="R6" s="1"/>
      <c r="Y6" s="38"/>
      <c r="Z6" s="38"/>
      <c r="AA6" s="1"/>
      <c r="AB6" s="1"/>
      <c r="AC6" s="1"/>
      <c r="AD6" s="1"/>
    </row>
    <row r="7" spans="1:30" ht="15">
      <c r="A7" t="s">
        <v>3</v>
      </c>
      <c r="B7" s="2">
        <f>VLOOKUP($A7,'County Totals'!$A:$D,2,FALSE)</f>
        <v>358.51900000000006</v>
      </c>
      <c r="C7" s="2">
        <f>VLOOKUP($A7,'County Totals'!$A:$D,3,FALSE)</f>
        <v>636</v>
      </c>
      <c r="D7" s="2">
        <f>VLOOKUP($A7,'County Totals'!$A:$D,4,FALSE)</f>
        <v>228148.01299999998</v>
      </c>
      <c r="E7" s="4">
        <v>6</v>
      </c>
      <c r="F7" s="4">
        <v>133</v>
      </c>
      <c r="G7" s="4">
        <v>357</v>
      </c>
      <c r="H7" s="3">
        <f t="shared" si="0"/>
        <v>0.8574102214783014</v>
      </c>
      <c r="I7" s="32">
        <f>SUM(E7:F7)/SUM('County Totals'!$E6:$F6)</f>
        <v>0.4263803680981595</v>
      </c>
      <c r="J7">
        <f t="shared" si="1"/>
        <v>65</v>
      </c>
      <c r="K7" s="1">
        <v>0</v>
      </c>
      <c r="L7" s="1">
        <v>5</v>
      </c>
      <c r="M7" s="1">
        <v>25</v>
      </c>
      <c r="N7" s="3">
        <f t="shared" si="2"/>
        <v>0.0600427325965197</v>
      </c>
      <c r="O7" s="32">
        <f>SUM(K7:L7)/SUM('County Totals'!$E6:$F6)</f>
        <v>0.015337423312883436</v>
      </c>
      <c r="P7">
        <f t="shared" si="3"/>
        <v>61</v>
      </c>
      <c r="Q7" s="1"/>
      <c r="R7" s="1"/>
      <c r="Y7" s="38"/>
      <c r="Z7" s="38"/>
      <c r="AA7" s="1"/>
      <c r="AB7" s="1"/>
      <c r="AC7" s="1"/>
      <c r="AD7" s="1"/>
    </row>
    <row r="8" spans="1:30" ht="15">
      <c r="A8" t="s">
        <v>4</v>
      </c>
      <c r="B8" s="2">
        <f>VLOOKUP($A8,'County Totals'!$A:$D,2,FALSE)</f>
        <v>363.18499999999983</v>
      </c>
      <c r="C8" s="2">
        <f>VLOOKUP($A8,'County Totals'!$A:$D,3,FALSE)</f>
        <v>366</v>
      </c>
      <c r="D8" s="2">
        <f>VLOOKUP($A8,'County Totals'!$A:$D,4,FALSE)</f>
        <v>133042.99000000005</v>
      </c>
      <c r="E8" s="4">
        <v>1</v>
      </c>
      <c r="F8" s="4">
        <v>94</v>
      </c>
      <c r="G8" s="4">
        <v>284</v>
      </c>
      <c r="H8" s="3">
        <f t="shared" si="0"/>
        <v>1.1696703325456257</v>
      </c>
      <c r="I8" s="32">
        <f>SUM(E8:F8)/SUM('County Totals'!$E7:$F7)</f>
        <v>0.4896907216494845</v>
      </c>
      <c r="J8">
        <f t="shared" si="1"/>
        <v>77</v>
      </c>
      <c r="K8" s="1">
        <v>0</v>
      </c>
      <c r="L8" s="1">
        <v>5</v>
      </c>
      <c r="M8" s="1">
        <v>24</v>
      </c>
      <c r="N8" s="3">
        <f t="shared" si="2"/>
        <v>0.09884538021512329</v>
      </c>
      <c r="O8" s="32">
        <f>SUM(K8:L8)/SUM('County Totals'!$E7:$F7)</f>
        <v>0.02577319587628866</v>
      </c>
      <c r="P8">
        <f t="shared" si="3"/>
        <v>77</v>
      </c>
      <c r="Q8" s="1"/>
      <c r="R8" s="1"/>
      <c r="Y8" s="38"/>
      <c r="Z8" s="38"/>
      <c r="AA8" s="1"/>
      <c r="AB8" s="1"/>
      <c r="AC8" s="1"/>
      <c r="AD8" s="1"/>
    </row>
    <row r="9" spans="1:30" ht="15">
      <c r="A9" t="s">
        <v>5</v>
      </c>
      <c r="B9" s="2">
        <f>VLOOKUP($A9,'County Totals'!$A:$D,2,FALSE)</f>
        <v>357.75300000000016</v>
      </c>
      <c r="C9" s="2">
        <f>VLOOKUP($A9,'County Totals'!$A:$D,3,FALSE)</f>
        <v>787</v>
      </c>
      <c r="D9" s="2">
        <f>VLOOKUP($A9,'County Totals'!$A:$D,4,FALSE)</f>
        <v>281631.36699999997</v>
      </c>
      <c r="E9" s="4">
        <v>2</v>
      </c>
      <c r="F9" s="4">
        <v>78</v>
      </c>
      <c r="G9" s="4">
        <v>184</v>
      </c>
      <c r="H9" s="3">
        <f t="shared" si="0"/>
        <v>0.3579925023345115</v>
      </c>
      <c r="I9" s="32">
        <f>SUM(E9:F9)/SUM('County Totals'!$E8:$F8)</f>
        <v>0.4444444444444444</v>
      </c>
      <c r="J9">
        <f t="shared" si="1"/>
        <v>9</v>
      </c>
      <c r="K9" s="1">
        <v>0</v>
      </c>
      <c r="L9" s="1">
        <v>3</v>
      </c>
      <c r="M9" s="1">
        <v>7</v>
      </c>
      <c r="N9" s="3">
        <f t="shared" si="2"/>
        <v>0.013619279980117286</v>
      </c>
      <c r="O9" s="32">
        <f>SUM(K9:L9)/SUM('County Totals'!$E8:$F8)</f>
        <v>0.016666666666666666</v>
      </c>
      <c r="P9">
        <f t="shared" si="3"/>
        <v>3</v>
      </c>
      <c r="Q9" s="1"/>
      <c r="R9" s="1"/>
      <c r="Y9" s="38"/>
      <c r="Z9" s="38"/>
      <c r="AA9" s="1"/>
      <c r="AB9" s="1"/>
      <c r="AC9" s="1"/>
      <c r="AD9" s="1"/>
    </row>
    <row r="10" spans="1:30" ht="15">
      <c r="A10" t="s">
        <v>6</v>
      </c>
      <c r="B10" s="2">
        <f>VLOOKUP($A10,'County Totals'!$A:$D,2,FALSE)</f>
        <v>309.25</v>
      </c>
      <c r="C10" s="2">
        <f>VLOOKUP($A10,'County Totals'!$A:$D,3,FALSE)</f>
        <v>670</v>
      </c>
      <c r="D10" s="2">
        <f>VLOOKUP($A10,'County Totals'!$A:$D,4,FALSE)</f>
        <v>207062.1750000001</v>
      </c>
      <c r="E10" s="4">
        <v>1</v>
      </c>
      <c r="F10" s="4">
        <v>106</v>
      </c>
      <c r="G10" s="4">
        <v>401</v>
      </c>
      <c r="H10" s="3">
        <f t="shared" si="0"/>
        <v>1.061159660847087</v>
      </c>
      <c r="I10" s="32">
        <f>SUM(E10:F10)/SUM('County Totals'!$E9:$F9)</f>
        <v>0.370242214532872</v>
      </c>
      <c r="J10">
        <f t="shared" si="1"/>
        <v>74</v>
      </c>
      <c r="K10" s="1">
        <v>0</v>
      </c>
      <c r="L10" s="1">
        <v>17</v>
      </c>
      <c r="M10" s="1">
        <v>55</v>
      </c>
      <c r="N10" s="3">
        <f t="shared" si="2"/>
        <v>0.14554558939299198</v>
      </c>
      <c r="O10" s="32">
        <f>SUM(K10:L10)/SUM('County Totals'!$E9:$F9)</f>
        <v>0.058823529411764705</v>
      </c>
      <c r="P10">
        <f t="shared" si="3"/>
        <v>82</v>
      </c>
      <c r="Q10" s="1"/>
      <c r="R10" s="1"/>
      <c r="Y10" s="38"/>
      <c r="Z10" s="38"/>
      <c r="AA10" s="1"/>
      <c r="AB10" s="1"/>
      <c r="AC10" s="1"/>
      <c r="AD10" s="1"/>
    </row>
    <row r="11" spans="1:30" ht="15">
      <c r="A11" t="s">
        <v>7</v>
      </c>
      <c r="B11" s="2">
        <f>VLOOKUP($A11,'County Totals'!$A:$D,2,FALSE)</f>
        <v>332.949</v>
      </c>
      <c r="C11" s="2">
        <f>VLOOKUP($A11,'County Totals'!$A:$D,3,FALSE)</f>
        <v>603</v>
      </c>
      <c r="D11" s="2">
        <f>VLOOKUP($A11,'County Totals'!$A:$D,4,FALSE)</f>
        <v>200604.25500000012</v>
      </c>
      <c r="E11" s="4">
        <v>1</v>
      </c>
      <c r="F11" s="4">
        <v>125</v>
      </c>
      <c r="G11" s="4">
        <v>353</v>
      </c>
      <c r="H11" s="3">
        <f t="shared" si="0"/>
        <v>0.9642101436694174</v>
      </c>
      <c r="I11" s="32">
        <f>SUM(E11:F11)/SUM('County Totals'!$E10:$F10)</f>
        <v>0.4144736842105263</v>
      </c>
      <c r="J11">
        <f t="shared" si="1"/>
        <v>67</v>
      </c>
      <c r="K11" s="1">
        <v>0</v>
      </c>
      <c r="L11" s="1">
        <v>5</v>
      </c>
      <c r="M11" s="1">
        <v>21</v>
      </c>
      <c r="N11" s="3">
        <f t="shared" si="2"/>
        <v>0.057360943391098485</v>
      </c>
      <c r="O11" s="32">
        <f>SUM(K11:L11)/SUM('County Totals'!$E10:$F10)</f>
        <v>0.01644736842105263</v>
      </c>
      <c r="P11">
        <f t="shared" si="3"/>
        <v>56</v>
      </c>
      <c r="Q11" s="1"/>
      <c r="R11" s="1"/>
      <c r="Y11" s="38"/>
      <c r="Z11" s="38"/>
      <c r="AA11" s="1"/>
      <c r="AB11" s="1"/>
      <c r="AC11" s="1"/>
      <c r="AD11" s="1"/>
    </row>
    <row r="12" spans="1:30" ht="15">
      <c r="A12" t="s">
        <v>8</v>
      </c>
      <c r="B12" s="2">
        <f>VLOOKUP($A12,'County Totals'!$A:$D,2,FALSE)</f>
        <v>267.0160000000001</v>
      </c>
      <c r="C12" s="2">
        <f>VLOOKUP($A12,'County Totals'!$A:$D,3,FALSE)</f>
        <v>4086</v>
      </c>
      <c r="D12" s="2">
        <f>VLOOKUP($A12,'County Totals'!$A:$D,4,FALSE)</f>
        <v>1090917.9510000004</v>
      </c>
      <c r="E12" s="4">
        <v>7</v>
      </c>
      <c r="F12" s="4">
        <v>243</v>
      </c>
      <c r="G12" s="4">
        <v>652</v>
      </c>
      <c r="H12" s="3">
        <f t="shared" si="0"/>
        <v>0.3274859247160767</v>
      </c>
      <c r="I12" s="32">
        <f>SUM(E12:F12)/SUM('County Totals'!$E11:$F11)</f>
        <v>0.254323499491353</v>
      </c>
      <c r="J12">
        <f t="shared" si="1"/>
        <v>6</v>
      </c>
      <c r="K12" s="1">
        <v>2</v>
      </c>
      <c r="L12" s="1">
        <v>15</v>
      </c>
      <c r="M12" s="1">
        <v>49</v>
      </c>
      <c r="N12" s="3">
        <f t="shared" si="2"/>
        <v>0.02461167225626957</v>
      </c>
      <c r="O12" s="32">
        <f>SUM(K12:L12)/SUM('County Totals'!$E11:$F11)</f>
        <v>0.017293997965412006</v>
      </c>
      <c r="P12">
        <f t="shared" si="3"/>
        <v>22</v>
      </c>
      <c r="Q12" s="1"/>
      <c r="R12" s="1"/>
      <c r="Y12" s="38"/>
      <c r="Z12" s="38"/>
      <c r="AA12" s="1"/>
      <c r="AB12" s="1"/>
      <c r="AC12" s="1"/>
      <c r="AD12" s="1"/>
    </row>
    <row r="13" spans="1:30" ht="15">
      <c r="A13" t="s">
        <v>9</v>
      </c>
      <c r="B13" s="2">
        <f>VLOOKUP($A13,'County Totals'!$A:$D,2,FALSE)</f>
        <v>306.0599999999999</v>
      </c>
      <c r="C13" s="2">
        <f>VLOOKUP($A13,'County Totals'!$A:$D,3,FALSE)</f>
        <v>513</v>
      </c>
      <c r="D13" s="2">
        <f>VLOOKUP($A13,'County Totals'!$A:$D,4,FALSE)</f>
        <v>157133.74300000007</v>
      </c>
      <c r="E13" s="4">
        <v>3</v>
      </c>
      <c r="F13" s="4">
        <v>58</v>
      </c>
      <c r="G13" s="4">
        <v>183</v>
      </c>
      <c r="H13" s="3">
        <f t="shared" si="0"/>
        <v>0.6381441101593289</v>
      </c>
      <c r="I13" s="32">
        <f>SUM(E13:F13)/SUM('County Totals'!$E12:$F12)</f>
        <v>0.4552238805970149</v>
      </c>
      <c r="J13">
        <f t="shared" si="1"/>
        <v>42</v>
      </c>
      <c r="K13" s="1">
        <v>0</v>
      </c>
      <c r="L13" s="1">
        <v>4</v>
      </c>
      <c r="M13" s="1">
        <v>9</v>
      </c>
      <c r="N13" s="3">
        <f t="shared" si="2"/>
        <v>0.0313841365652129</v>
      </c>
      <c r="O13" s="32">
        <f>SUM(K13:L13)/SUM('County Totals'!$E12:$F12)</f>
        <v>0.029850746268656716</v>
      </c>
      <c r="P13">
        <f t="shared" si="3"/>
        <v>37</v>
      </c>
      <c r="Q13" s="1"/>
      <c r="R13" s="1"/>
      <c r="Y13" s="38"/>
      <c r="Z13" s="38"/>
      <c r="AA13" s="1"/>
      <c r="AB13" s="1"/>
      <c r="AC13" s="1"/>
      <c r="AD13" s="1"/>
    </row>
    <row r="14" spans="1:30" ht="15">
      <c r="A14" t="s">
        <v>10</v>
      </c>
      <c r="B14" s="2">
        <f>VLOOKUP($A14,'County Totals'!$A:$D,2,FALSE)</f>
        <v>239.03000000000014</v>
      </c>
      <c r="C14" s="2">
        <f>VLOOKUP($A14,'County Totals'!$A:$D,3,FALSE)</f>
        <v>546</v>
      </c>
      <c r="D14" s="2">
        <f>VLOOKUP($A14,'County Totals'!$A:$D,4,FALSE)</f>
        <v>130604.98699999995</v>
      </c>
      <c r="E14" s="4">
        <v>2</v>
      </c>
      <c r="F14" s="4">
        <v>64</v>
      </c>
      <c r="G14" s="4">
        <v>167</v>
      </c>
      <c r="H14" s="3">
        <f t="shared" si="0"/>
        <v>0.7006382483317313</v>
      </c>
      <c r="I14" s="32">
        <f>SUM(E14:F14)/SUM('County Totals'!$E13:$F13)</f>
        <v>0.4342105263157895</v>
      </c>
      <c r="J14">
        <f t="shared" si="1"/>
        <v>48</v>
      </c>
      <c r="K14" s="1">
        <v>0</v>
      </c>
      <c r="L14" s="1">
        <v>1</v>
      </c>
      <c r="M14" s="1">
        <v>5</v>
      </c>
      <c r="N14" s="3">
        <f t="shared" si="2"/>
        <v>0.02097719306382429</v>
      </c>
      <c r="O14" s="32">
        <f>SUM(K14:L14)/SUM('County Totals'!$E13:$F13)</f>
        <v>0.006578947368421052</v>
      </c>
      <c r="P14">
        <f t="shared" si="3"/>
        <v>13</v>
      </c>
      <c r="Q14" s="1"/>
      <c r="R14" s="1"/>
      <c r="Y14" s="38"/>
      <c r="Z14" s="38"/>
      <c r="AA14" s="1"/>
      <c r="AB14" s="1"/>
      <c r="AC14" s="1"/>
      <c r="AD14" s="1"/>
    </row>
    <row r="15" spans="1:30" ht="15">
      <c r="A15" t="s">
        <v>11</v>
      </c>
      <c r="B15" s="2">
        <f>VLOOKUP($A15,'County Totals'!$A:$D,2,FALSE)</f>
        <v>306.735</v>
      </c>
      <c r="C15" s="2">
        <f>VLOOKUP($A15,'County Totals'!$A:$D,3,FALSE)</f>
        <v>1867</v>
      </c>
      <c r="D15" s="2">
        <f>VLOOKUP($A15,'County Totals'!$A:$D,4,FALSE)</f>
        <v>572619.2000000002</v>
      </c>
      <c r="E15" s="4">
        <v>9</v>
      </c>
      <c r="F15" s="4">
        <v>165</v>
      </c>
      <c r="G15" s="4">
        <v>486</v>
      </c>
      <c r="H15" s="3">
        <f t="shared" si="0"/>
        <v>0.4650584015747527</v>
      </c>
      <c r="I15" s="32">
        <f>SUM(E15:F15)/SUM('County Totals'!$E14:$F14)</f>
        <v>0.30796460176991153</v>
      </c>
      <c r="J15">
        <f t="shared" si="1"/>
        <v>22</v>
      </c>
      <c r="K15" s="1">
        <v>0</v>
      </c>
      <c r="L15" s="1">
        <v>11</v>
      </c>
      <c r="M15" s="1">
        <v>49</v>
      </c>
      <c r="N15" s="3">
        <f t="shared" si="2"/>
        <v>0.0468886042739977</v>
      </c>
      <c r="O15" s="32">
        <f>SUM(K15:L15)/SUM('County Totals'!$E14:$F14)</f>
        <v>0.019469026548672566</v>
      </c>
      <c r="P15">
        <f t="shared" si="3"/>
        <v>50</v>
      </c>
      <c r="Q15" s="1"/>
      <c r="R15" s="1"/>
      <c r="Y15" s="38"/>
      <c r="Z15" s="38"/>
      <c r="AA15" s="1"/>
      <c r="AB15" s="1"/>
      <c r="AC15" s="1"/>
      <c r="AD15" s="1"/>
    </row>
    <row r="16" spans="1:30" ht="15">
      <c r="A16" t="s">
        <v>12</v>
      </c>
      <c r="B16" s="2">
        <f>VLOOKUP($A16,'County Totals'!$A:$D,2,FALSE)</f>
        <v>384.98599999999965</v>
      </c>
      <c r="C16" s="2">
        <f>VLOOKUP($A16,'County Totals'!$A:$D,3,FALSE)</f>
        <v>2931</v>
      </c>
      <c r="D16" s="2">
        <f>VLOOKUP($A16,'County Totals'!$A:$D,4,FALSE)</f>
        <v>1128467.5830000003</v>
      </c>
      <c r="E16" s="4">
        <v>11</v>
      </c>
      <c r="F16" s="4">
        <v>472</v>
      </c>
      <c r="G16" s="4">
        <v>1470</v>
      </c>
      <c r="H16" s="3">
        <f t="shared" si="0"/>
        <v>0.7137816488387281</v>
      </c>
      <c r="I16" s="32">
        <f>SUM(E16:F16)/SUM('County Totals'!$E15:$F15)</f>
        <v>0.25995694294940797</v>
      </c>
      <c r="J16">
        <f t="shared" si="1"/>
        <v>52</v>
      </c>
      <c r="K16" s="1">
        <v>0</v>
      </c>
      <c r="L16" s="1">
        <v>45</v>
      </c>
      <c r="M16" s="1">
        <v>174</v>
      </c>
      <c r="N16" s="3">
        <f t="shared" si="2"/>
        <v>0.08448844006662497</v>
      </c>
      <c r="O16" s="32">
        <f>SUM(K16:L16)/SUM('County Totals'!$E15:$F15)</f>
        <v>0.024219590958019375</v>
      </c>
      <c r="P16">
        <f t="shared" si="3"/>
        <v>72</v>
      </c>
      <c r="Q16" s="1"/>
      <c r="R16" s="1"/>
      <c r="Y16" s="38"/>
      <c r="Z16" s="38"/>
      <c r="AA16" s="1"/>
      <c r="AB16" s="1"/>
      <c r="AC16" s="1"/>
      <c r="AD16" s="1"/>
    </row>
    <row r="17" spans="1:30" ht="15">
      <c r="A17" t="s">
        <v>13</v>
      </c>
      <c r="B17" s="2">
        <f>VLOOKUP($A17,'County Totals'!$A:$D,2,FALSE)</f>
        <v>261.7250000000001</v>
      </c>
      <c r="C17" s="2">
        <f>VLOOKUP($A17,'County Totals'!$A:$D,3,FALSE)</f>
        <v>604</v>
      </c>
      <c r="D17" s="2">
        <f>VLOOKUP($A17,'County Totals'!$A:$D,4,FALSE)</f>
        <v>158125.797</v>
      </c>
      <c r="E17" s="4">
        <v>1</v>
      </c>
      <c r="F17" s="4">
        <v>82</v>
      </c>
      <c r="G17" s="4">
        <v>202</v>
      </c>
      <c r="H17" s="3">
        <f t="shared" si="0"/>
        <v>0.6999802284433662</v>
      </c>
      <c r="I17" s="32">
        <f>SUM(E17:F17)/SUM('County Totals'!$E16:$F16)</f>
        <v>0.4689265536723164</v>
      </c>
      <c r="J17">
        <f t="shared" si="1"/>
        <v>47</v>
      </c>
      <c r="K17" s="1">
        <v>0</v>
      </c>
      <c r="L17" s="1">
        <v>8</v>
      </c>
      <c r="M17" s="1">
        <v>17</v>
      </c>
      <c r="N17" s="3">
        <f t="shared" si="2"/>
        <v>0.05890922714622389</v>
      </c>
      <c r="O17" s="32">
        <f>SUM(K17:L17)/SUM('County Totals'!$E16:$F16)</f>
        <v>0.04519774011299435</v>
      </c>
      <c r="P17">
        <f t="shared" si="3"/>
        <v>60</v>
      </c>
      <c r="Q17" s="1"/>
      <c r="R17" s="1"/>
      <c r="Y17" s="38"/>
      <c r="Z17" s="38"/>
      <c r="AA17" s="1"/>
      <c r="AB17" s="1"/>
      <c r="AC17" s="1"/>
      <c r="AD17" s="1"/>
    </row>
    <row r="18" spans="1:30" ht="15">
      <c r="A18" t="s">
        <v>14</v>
      </c>
      <c r="B18" s="2">
        <f>VLOOKUP($A18,'County Totals'!$A:$D,2,FALSE)</f>
        <v>168.39000000000004</v>
      </c>
      <c r="C18" s="2">
        <f>VLOOKUP($A18,'County Totals'!$A:$D,3,FALSE)</f>
        <v>1462</v>
      </c>
      <c r="D18" s="2">
        <f>VLOOKUP($A18,'County Totals'!$A:$D,4,FALSE)</f>
        <v>246177.93000000008</v>
      </c>
      <c r="E18" s="4">
        <v>4</v>
      </c>
      <c r="F18" s="4">
        <v>84</v>
      </c>
      <c r="G18" s="4">
        <v>241</v>
      </c>
      <c r="H18" s="3">
        <f t="shared" si="0"/>
        <v>0.5364201190600145</v>
      </c>
      <c r="I18" s="32">
        <f>SUM(E18:F18)/SUM('County Totals'!$E17:$F17)</f>
        <v>0.3176895306859206</v>
      </c>
      <c r="J18">
        <f t="shared" si="1"/>
        <v>31</v>
      </c>
      <c r="K18" s="1">
        <v>1</v>
      </c>
      <c r="L18" s="1">
        <v>5</v>
      </c>
      <c r="M18" s="1">
        <v>27</v>
      </c>
      <c r="N18" s="3">
        <f t="shared" si="2"/>
        <v>0.06009685981170287</v>
      </c>
      <c r="O18" s="32">
        <f>SUM(K18:L18)/SUM('County Totals'!$E17:$F17)</f>
        <v>0.021660649819494584</v>
      </c>
      <c r="P18">
        <f t="shared" si="3"/>
        <v>62</v>
      </c>
      <c r="Q18" s="1"/>
      <c r="R18" s="1"/>
      <c r="Y18" s="38"/>
      <c r="Z18" s="38"/>
      <c r="AA18" s="1"/>
      <c r="AB18" s="1"/>
      <c r="AC18" s="1"/>
      <c r="AD18" s="1"/>
    </row>
    <row r="19" spans="1:30" ht="15">
      <c r="A19" t="s">
        <v>15</v>
      </c>
      <c r="B19" s="2">
        <f>VLOOKUP($A19,'County Totals'!$A:$D,2,FALSE)</f>
        <v>351.77500000000026</v>
      </c>
      <c r="C19" s="2">
        <f>VLOOKUP($A19,'County Totals'!$A:$D,3,FALSE)</f>
        <v>541</v>
      </c>
      <c r="D19" s="2">
        <f>VLOOKUP($A19,'County Totals'!$A:$D,4,FALSE)</f>
        <v>190137.4799999999</v>
      </c>
      <c r="E19" s="4">
        <v>5</v>
      </c>
      <c r="F19" s="4">
        <v>55</v>
      </c>
      <c r="G19" s="4">
        <v>156</v>
      </c>
      <c r="H19" s="3">
        <f t="shared" si="0"/>
        <v>0.44956655602459106</v>
      </c>
      <c r="I19" s="32">
        <f>SUM(E19:F19)/SUM('County Totals'!$E18:$F18)</f>
        <v>0.4444444444444444</v>
      </c>
      <c r="J19">
        <f t="shared" si="1"/>
        <v>21</v>
      </c>
      <c r="K19" s="1">
        <v>1</v>
      </c>
      <c r="L19" s="1">
        <v>1</v>
      </c>
      <c r="M19" s="1">
        <v>6</v>
      </c>
      <c r="N19" s="3">
        <f t="shared" si="2"/>
        <v>0.017291021385561194</v>
      </c>
      <c r="O19" s="32">
        <f>SUM(K19:L19)/SUM('County Totals'!$E18:$F18)</f>
        <v>0.014814814814814815</v>
      </c>
      <c r="P19">
        <f t="shared" si="3"/>
        <v>8</v>
      </c>
      <c r="Q19" s="1"/>
      <c r="R19" s="1"/>
      <c r="Y19" s="38"/>
      <c r="Z19" s="38"/>
      <c r="AA19" s="1"/>
      <c r="AB19" s="1"/>
      <c r="AC19" s="1"/>
      <c r="AD19" s="1"/>
    </row>
    <row r="20" spans="1:30" ht="15">
      <c r="A20" t="s">
        <v>16</v>
      </c>
      <c r="B20" s="2">
        <f>VLOOKUP($A20,'County Totals'!$A:$D,2,FALSE)</f>
        <v>238.10199999999986</v>
      </c>
      <c r="C20" s="2">
        <f>VLOOKUP($A20,'County Totals'!$A:$D,3,FALSE)</f>
        <v>657</v>
      </c>
      <c r="D20" s="2">
        <f>VLOOKUP($A20,'County Totals'!$A:$D,4,FALSE)</f>
        <v>156525.97499999998</v>
      </c>
      <c r="E20" s="4">
        <v>2</v>
      </c>
      <c r="F20" s="4">
        <v>64</v>
      </c>
      <c r="G20" s="4">
        <v>185</v>
      </c>
      <c r="H20" s="3">
        <f t="shared" si="0"/>
        <v>0.6476232651717944</v>
      </c>
      <c r="I20" s="32">
        <f>SUM(E20:F20)/SUM('County Totals'!$E19:$F19)</f>
        <v>0.4714285714285714</v>
      </c>
      <c r="J20">
        <f t="shared" si="1"/>
        <v>44</v>
      </c>
      <c r="K20" s="1">
        <v>0</v>
      </c>
      <c r="L20" s="1">
        <v>1</v>
      </c>
      <c r="M20" s="1">
        <v>5</v>
      </c>
      <c r="N20" s="3">
        <f t="shared" si="2"/>
        <v>0.01750333149112958</v>
      </c>
      <c r="O20" s="32">
        <f>SUM(K20:L20)/SUM('County Totals'!$E19:$F19)</f>
        <v>0.007142857142857143</v>
      </c>
      <c r="P20">
        <f t="shared" si="3"/>
        <v>9</v>
      </c>
      <c r="Q20" s="1"/>
      <c r="R20" s="1"/>
      <c r="Y20" s="38"/>
      <c r="Z20" s="38"/>
      <c r="AA20" s="1"/>
      <c r="AB20" s="1"/>
      <c r="AC20" s="1"/>
      <c r="AD20" s="1"/>
    </row>
    <row r="21" spans="1:30" ht="15">
      <c r="A21" t="s">
        <v>17</v>
      </c>
      <c r="B21" s="2">
        <f>VLOOKUP($A21,'County Totals'!$A:$D,2,FALSE)</f>
        <v>22.090000000000003</v>
      </c>
      <c r="C21" s="2">
        <f>VLOOKUP($A21,'County Totals'!$A:$D,3,FALSE)</f>
        <v>4927</v>
      </c>
      <c r="D21" s="2">
        <f>VLOOKUP($A21,'County Totals'!$A:$D,4,FALSE)</f>
        <v>108833.01999999997</v>
      </c>
      <c r="E21" s="4">
        <v>0</v>
      </c>
      <c r="F21" s="4">
        <v>16</v>
      </c>
      <c r="G21" s="4">
        <v>50</v>
      </c>
      <c r="H21" s="3">
        <f t="shared" si="0"/>
        <v>0.25173665376530585</v>
      </c>
      <c r="I21" s="32">
        <f>SUM(E21:F21)/SUM('County Totals'!$E20:$F20)</f>
        <v>0.16666666666666666</v>
      </c>
      <c r="J21">
        <f t="shared" si="1"/>
        <v>1</v>
      </c>
      <c r="K21" s="1">
        <v>0</v>
      </c>
      <c r="L21" s="1">
        <v>0</v>
      </c>
      <c r="M21" s="1">
        <v>5</v>
      </c>
      <c r="N21" s="3">
        <f t="shared" si="2"/>
        <v>0.025173665376530586</v>
      </c>
      <c r="O21" s="32">
        <f>SUM(K21:L21)/SUM('County Totals'!$E20:$F20)</f>
        <v>0</v>
      </c>
      <c r="P21">
        <f t="shared" si="3"/>
        <v>24</v>
      </c>
      <c r="Q21" s="1"/>
      <c r="R21" s="1"/>
      <c r="Y21" s="38"/>
      <c r="Z21" s="38"/>
      <c r="AA21" s="1"/>
      <c r="AB21" s="1"/>
      <c r="AC21" s="1"/>
      <c r="AD21" s="1"/>
    </row>
    <row r="22" spans="1:30" ht="15">
      <c r="A22" t="s">
        <v>18</v>
      </c>
      <c r="B22" s="2">
        <f>VLOOKUP($A22,'County Totals'!$A:$D,2,FALSE)</f>
        <v>539.4259999999997</v>
      </c>
      <c r="C22" s="2">
        <f>VLOOKUP($A22,'County Totals'!$A:$D,3,FALSE)</f>
        <v>504</v>
      </c>
      <c r="D22" s="2">
        <f>VLOOKUP($A22,'County Totals'!$A:$D,4,FALSE)</f>
        <v>271847.5880000003</v>
      </c>
      <c r="E22" s="4">
        <v>5</v>
      </c>
      <c r="F22" s="4">
        <v>94</v>
      </c>
      <c r="G22" s="4">
        <v>317</v>
      </c>
      <c r="H22" s="3">
        <f t="shared" si="0"/>
        <v>0.6389559363571993</v>
      </c>
      <c r="I22" s="32">
        <f>SUM(E22:F22)/SUM('County Totals'!$E21:$F21)</f>
        <v>0.4177215189873418</v>
      </c>
      <c r="J22">
        <f t="shared" si="1"/>
        <v>43</v>
      </c>
      <c r="K22" s="1">
        <v>0</v>
      </c>
      <c r="L22" s="1">
        <v>1</v>
      </c>
      <c r="M22" s="1">
        <v>11</v>
      </c>
      <c r="N22" s="3">
        <f t="shared" si="2"/>
        <v>0.022171972554981677</v>
      </c>
      <c r="O22" s="32">
        <f>SUM(K22:L22)/SUM('County Totals'!$E21:$F21)</f>
        <v>0.004219409282700422</v>
      </c>
      <c r="P22">
        <f t="shared" si="3"/>
        <v>18</v>
      </c>
      <c r="Q22" s="1"/>
      <c r="R22" s="1"/>
      <c r="Y22" s="38"/>
      <c r="Z22" s="38"/>
      <c r="AA22" s="1"/>
      <c r="AB22" s="1"/>
      <c r="AC22" s="1"/>
      <c r="AD22" s="1"/>
    </row>
    <row r="23" spans="1:30" ht="15">
      <c r="A23" t="s">
        <v>19</v>
      </c>
      <c r="B23" s="2">
        <f>VLOOKUP($A23,'County Totals'!$A:$D,2,FALSE)</f>
        <v>338.45000000000005</v>
      </c>
      <c r="C23" s="2">
        <f>VLOOKUP($A23,'County Totals'!$A:$D,3,FALSE)</f>
        <v>569</v>
      </c>
      <c r="D23" s="2">
        <f>VLOOKUP($A23,'County Totals'!$A:$D,4,FALSE)</f>
        <v>192412.26600000015</v>
      </c>
      <c r="E23" s="4">
        <v>3</v>
      </c>
      <c r="F23" s="4">
        <v>78</v>
      </c>
      <c r="G23" s="4">
        <v>170</v>
      </c>
      <c r="H23" s="3">
        <f t="shared" si="0"/>
        <v>0.484120305155113</v>
      </c>
      <c r="I23" s="32">
        <f>SUM(E23:F23)/SUM('County Totals'!$E22:$F22)</f>
        <v>0.42408376963350786</v>
      </c>
      <c r="J23">
        <f t="shared" si="1"/>
        <v>25</v>
      </c>
      <c r="K23" s="1">
        <v>1</v>
      </c>
      <c r="L23" s="1">
        <v>2</v>
      </c>
      <c r="M23" s="1">
        <v>10</v>
      </c>
      <c r="N23" s="3">
        <f t="shared" si="2"/>
        <v>0.028477665009124294</v>
      </c>
      <c r="O23" s="32">
        <f>SUM(K23:L23)/SUM('County Totals'!$E22:$F22)</f>
        <v>0.015706806282722512</v>
      </c>
      <c r="P23">
        <f t="shared" si="3"/>
        <v>33</v>
      </c>
      <c r="Q23" s="1"/>
      <c r="R23" s="1"/>
      <c r="Y23" s="38"/>
      <c r="Z23" s="38"/>
      <c r="AA23" s="1"/>
      <c r="AB23" s="1"/>
      <c r="AC23" s="1"/>
      <c r="AD23" s="1"/>
    </row>
    <row r="24" spans="1:30" ht="15">
      <c r="A24" t="s">
        <v>20</v>
      </c>
      <c r="B24" s="2">
        <f>VLOOKUP($A24,'County Totals'!$A:$D,2,FALSE)</f>
        <v>343.75400000000036</v>
      </c>
      <c r="C24" s="2">
        <f>VLOOKUP($A24,'County Totals'!$A:$D,3,FALSE)</f>
        <v>2746</v>
      </c>
      <c r="D24" s="2">
        <f>VLOOKUP($A24,'County Totals'!$A:$D,4,FALSE)</f>
        <v>943838.3889999997</v>
      </c>
      <c r="E24" s="4">
        <v>5</v>
      </c>
      <c r="F24" s="4">
        <v>170</v>
      </c>
      <c r="G24" s="4">
        <v>500</v>
      </c>
      <c r="H24" s="3">
        <f t="shared" si="0"/>
        <v>0.29027490927763705</v>
      </c>
      <c r="I24" s="32">
        <f>SUM(E24:F24)/SUM('County Totals'!$E23:$F23)</f>
        <v>0.22208121827411167</v>
      </c>
      <c r="J24">
        <f t="shared" si="1"/>
        <v>3</v>
      </c>
      <c r="K24" s="1">
        <v>1</v>
      </c>
      <c r="L24" s="1">
        <v>10</v>
      </c>
      <c r="M24" s="1">
        <v>31</v>
      </c>
      <c r="N24" s="3">
        <f t="shared" si="2"/>
        <v>0.017997044375213496</v>
      </c>
      <c r="O24" s="32">
        <f>SUM(K24:L24)/SUM('County Totals'!$E23:$F23)</f>
        <v>0.013959390862944163</v>
      </c>
      <c r="P24">
        <f t="shared" si="3"/>
        <v>10</v>
      </c>
      <c r="Q24" s="1"/>
      <c r="R24" s="1"/>
      <c r="Y24" s="38"/>
      <c r="Z24" s="38"/>
      <c r="AA24" s="1"/>
      <c r="AB24" s="1"/>
      <c r="AC24" s="1"/>
      <c r="AD24" s="1"/>
    </row>
    <row r="25" spans="1:30" ht="15">
      <c r="A25" t="s">
        <v>21</v>
      </c>
      <c r="B25" s="2">
        <f>VLOOKUP($A25,'County Totals'!$A:$D,2,FALSE)</f>
        <v>140.72399999999993</v>
      </c>
      <c r="C25" s="2">
        <f>VLOOKUP($A25,'County Totals'!$A:$D,3,FALSE)</f>
        <v>1857</v>
      </c>
      <c r="D25" s="2">
        <f>VLOOKUP($A25,'County Totals'!$A:$D,4,FALSE)</f>
        <v>261381.41000000012</v>
      </c>
      <c r="E25" s="4">
        <v>3</v>
      </c>
      <c r="F25" s="4">
        <v>73</v>
      </c>
      <c r="G25" s="4">
        <v>259</v>
      </c>
      <c r="H25" s="3">
        <f t="shared" si="0"/>
        <v>0.5429529522362666</v>
      </c>
      <c r="I25" s="32">
        <f>SUM(E25:F25)/SUM('County Totals'!$E24:$F24)</f>
        <v>0.23170731707317074</v>
      </c>
      <c r="J25">
        <f t="shared" si="1"/>
        <v>32</v>
      </c>
      <c r="K25" s="1">
        <v>1</v>
      </c>
      <c r="L25" s="1">
        <v>5</v>
      </c>
      <c r="M25" s="1">
        <v>13</v>
      </c>
      <c r="N25" s="3">
        <f t="shared" si="2"/>
        <v>0.027252464784059717</v>
      </c>
      <c r="O25" s="32">
        <f>SUM(K25:L25)/SUM('County Totals'!$E24:$F24)</f>
        <v>0.018292682926829267</v>
      </c>
      <c r="P25">
        <f t="shared" si="3"/>
        <v>31</v>
      </c>
      <c r="Q25" s="1"/>
      <c r="R25" s="1"/>
      <c r="Y25" s="38"/>
      <c r="Z25" s="38"/>
      <c r="AA25" s="1"/>
      <c r="AB25" s="1"/>
      <c r="AC25" s="1"/>
      <c r="AD25" s="1"/>
    </row>
    <row r="26" spans="1:30" ht="15">
      <c r="A26" t="s">
        <v>22</v>
      </c>
      <c r="B26" s="2">
        <f>VLOOKUP($A26,'County Totals'!$A:$D,2,FALSE)</f>
        <v>367.4860000000001</v>
      </c>
      <c r="C26" s="2">
        <f>VLOOKUP($A26,'County Totals'!$A:$D,3,FALSE)</f>
        <v>1464</v>
      </c>
      <c r="D26" s="2">
        <f>VLOOKUP($A26,'County Totals'!$A:$D,4,FALSE)</f>
        <v>538066.0779999999</v>
      </c>
      <c r="E26" s="4">
        <v>10</v>
      </c>
      <c r="F26" s="4">
        <v>220</v>
      </c>
      <c r="G26" s="4">
        <v>496</v>
      </c>
      <c r="H26" s="3">
        <f t="shared" si="0"/>
        <v>0.5051067759707542</v>
      </c>
      <c r="I26" s="32">
        <f>SUM(E26:F26)/SUM('County Totals'!$E25:$F25)</f>
        <v>0.35769828926905134</v>
      </c>
      <c r="J26">
        <f t="shared" si="1"/>
        <v>27</v>
      </c>
      <c r="K26" s="1">
        <v>0</v>
      </c>
      <c r="L26" s="1">
        <v>15</v>
      </c>
      <c r="M26" s="1">
        <v>45</v>
      </c>
      <c r="N26" s="3">
        <f t="shared" si="2"/>
        <v>0.04582621959412084</v>
      </c>
      <c r="O26" s="32">
        <f>SUM(K26:L26)/SUM('County Totals'!$E25:$F25)</f>
        <v>0.02332814930015552</v>
      </c>
      <c r="P26">
        <f t="shared" si="3"/>
        <v>49</v>
      </c>
      <c r="Q26" s="1"/>
      <c r="R26" s="1"/>
      <c r="Y26" s="38"/>
      <c r="Z26" s="38"/>
      <c r="AA26" s="1"/>
      <c r="AB26" s="1"/>
      <c r="AC26" s="1"/>
      <c r="AD26" s="1"/>
    </row>
    <row r="27" spans="1:30" ht="15">
      <c r="A27" t="s">
        <v>23</v>
      </c>
      <c r="B27" s="2">
        <f>VLOOKUP($A27,'County Totals'!$A:$D,2,FALSE)</f>
        <v>312.2939999999999</v>
      </c>
      <c r="C27" s="2">
        <f>VLOOKUP($A27,'County Totals'!$A:$D,3,FALSE)</f>
        <v>509</v>
      </c>
      <c r="D27" s="2">
        <f>VLOOKUP($A27,'County Totals'!$A:$D,4,FALSE)</f>
        <v>159072.99000000005</v>
      </c>
      <c r="E27" s="4">
        <v>2</v>
      </c>
      <c r="F27" s="4">
        <v>112</v>
      </c>
      <c r="G27" s="4">
        <v>294</v>
      </c>
      <c r="H27" s="3">
        <f t="shared" si="0"/>
        <v>1.0127168063601424</v>
      </c>
      <c r="I27" s="32">
        <f>SUM(E27:F27)/SUM('County Totals'!$E26:$F26)</f>
        <v>0.6368715083798883</v>
      </c>
      <c r="J27">
        <f t="shared" si="1"/>
        <v>70</v>
      </c>
      <c r="K27" s="1">
        <v>0</v>
      </c>
      <c r="L27" s="1">
        <v>7</v>
      </c>
      <c r="M27" s="1">
        <v>15</v>
      </c>
      <c r="N27" s="3">
        <f t="shared" si="2"/>
        <v>0.05166922481429298</v>
      </c>
      <c r="O27" s="32">
        <f>SUM(K27:L27)/SUM('County Totals'!$E26:$F26)</f>
        <v>0.03910614525139665</v>
      </c>
      <c r="P27">
        <f t="shared" si="3"/>
        <v>51</v>
      </c>
      <c r="Q27" s="1"/>
      <c r="R27" s="1"/>
      <c r="Y27" s="38"/>
      <c r="Z27" s="38"/>
      <c r="AA27" s="1"/>
      <c r="AB27" s="1"/>
      <c r="AC27" s="1"/>
      <c r="AD27" s="1"/>
    </row>
    <row r="28" spans="1:30" ht="15">
      <c r="A28" t="s">
        <v>24</v>
      </c>
      <c r="B28" s="2">
        <f>VLOOKUP($A28,'County Totals'!$A:$D,2,FALSE)</f>
        <v>266.10200000000003</v>
      </c>
      <c r="C28" s="2">
        <f>VLOOKUP($A28,'County Totals'!$A:$D,3,FALSE)</f>
        <v>5176</v>
      </c>
      <c r="D28" s="2">
        <f>VLOOKUP($A28,'County Totals'!$A:$D,4,FALSE)</f>
        <v>1377389.7329999988</v>
      </c>
      <c r="E28" s="4">
        <v>18</v>
      </c>
      <c r="F28" s="4">
        <v>313</v>
      </c>
      <c r="G28" s="4">
        <v>898</v>
      </c>
      <c r="H28" s="3">
        <f t="shared" si="0"/>
        <v>0.3572371586136604</v>
      </c>
      <c r="I28" s="32">
        <f>SUM(E28:F28)/SUM('County Totals'!$E27:$F27)</f>
        <v>0.15635333018422296</v>
      </c>
      <c r="J28">
        <f t="shared" si="1"/>
        <v>8</v>
      </c>
      <c r="K28" s="1">
        <v>1</v>
      </c>
      <c r="L28" s="1">
        <v>16</v>
      </c>
      <c r="M28" s="1">
        <v>59</v>
      </c>
      <c r="N28" s="3">
        <f t="shared" si="2"/>
        <v>0.023471038260808423</v>
      </c>
      <c r="O28" s="32">
        <f>SUM(K28:L28)/SUM('County Totals'!$E27:$F27)</f>
        <v>0.00803023145961266</v>
      </c>
      <c r="P28">
        <f t="shared" si="3"/>
        <v>21</v>
      </c>
      <c r="Q28" s="1"/>
      <c r="R28" s="1"/>
      <c r="Y28" s="38"/>
      <c r="Z28" s="38"/>
      <c r="AA28" s="1"/>
      <c r="AB28" s="1"/>
      <c r="AC28" s="1"/>
      <c r="AD28" s="1"/>
    </row>
    <row r="29" spans="1:30" ht="15">
      <c r="A29" t="s">
        <v>25</v>
      </c>
      <c r="B29" s="2">
        <f>VLOOKUP($A29,'County Totals'!$A:$D,2,FALSE)</f>
        <v>376.5069999999997</v>
      </c>
      <c r="C29" s="2">
        <f>VLOOKUP($A29,'County Totals'!$A:$D,3,FALSE)</f>
        <v>619</v>
      </c>
      <c r="D29" s="2">
        <f>VLOOKUP($A29,'County Totals'!$A:$D,4,FALSE)</f>
        <v>233138.67600000018</v>
      </c>
      <c r="E29" s="4">
        <v>4</v>
      </c>
      <c r="F29" s="4">
        <v>80</v>
      </c>
      <c r="G29" s="4">
        <v>258</v>
      </c>
      <c r="H29" s="3">
        <f t="shared" si="0"/>
        <v>0.6063767086577199</v>
      </c>
      <c r="I29" s="32">
        <f>SUM(E29:F29)/SUM('County Totals'!$E28:$F28)</f>
        <v>0.340080971659919</v>
      </c>
      <c r="J29">
        <f t="shared" si="1"/>
        <v>39</v>
      </c>
      <c r="K29" s="1">
        <v>0</v>
      </c>
      <c r="L29" s="1">
        <v>2</v>
      </c>
      <c r="M29" s="1">
        <v>7</v>
      </c>
      <c r="N29" s="3">
        <f t="shared" si="2"/>
        <v>0.016452081242651313</v>
      </c>
      <c r="O29" s="32">
        <f>SUM(K29:L29)/SUM('County Totals'!$E28:$F28)</f>
        <v>0.008097165991902834</v>
      </c>
      <c r="P29">
        <f t="shared" si="3"/>
        <v>7</v>
      </c>
      <c r="Q29" s="1"/>
      <c r="R29" s="1"/>
      <c r="Y29" s="38"/>
      <c r="Z29" s="38"/>
      <c r="AA29" s="1"/>
      <c r="AB29" s="1"/>
      <c r="AC29" s="1"/>
      <c r="AD29" s="1"/>
    </row>
    <row r="30" spans="1:30" ht="15">
      <c r="A30" t="s">
        <v>26</v>
      </c>
      <c r="B30" s="2">
        <f>VLOOKUP($A30,'County Totals'!$A:$D,2,FALSE)</f>
        <v>454.75599999999986</v>
      </c>
      <c r="C30" s="2">
        <f>VLOOKUP($A30,'County Totals'!$A:$D,3,FALSE)</f>
        <v>332</v>
      </c>
      <c r="D30" s="2">
        <f>VLOOKUP($A30,'County Totals'!$A:$D,4,FALSE)</f>
        <v>150919.0630000001</v>
      </c>
      <c r="E30" s="4">
        <v>4</v>
      </c>
      <c r="F30" s="4">
        <v>123</v>
      </c>
      <c r="G30" s="4">
        <v>409</v>
      </c>
      <c r="H30" s="3">
        <f t="shared" si="0"/>
        <v>1.4849654151450418</v>
      </c>
      <c r="I30" s="32">
        <f>SUM(E30:F30)/SUM('County Totals'!$E29:$F29)</f>
        <v>0.6018957345971564</v>
      </c>
      <c r="J30">
        <f t="shared" si="1"/>
        <v>84</v>
      </c>
      <c r="K30" s="1">
        <v>0</v>
      </c>
      <c r="L30" s="1">
        <v>11</v>
      </c>
      <c r="M30" s="1">
        <v>39</v>
      </c>
      <c r="N30" s="3">
        <f t="shared" si="2"/>
        <v>0.14159816917030962</v>
      </c>
      <c r="O30" s="32">
        <f>SUM(K30:L30)/SUM('County Totals'!$E29:$F29)</f>
        <v>0.052132701421800945</v>
      </c>
      <c r="P30">
        <f t="shared" si="3"/>
        <v>81</v>
      </c>
      <c r="Q30" s="1"/>
      <c r="R30" s="1"/>
      <c r="Y30" s="38"/>
      <c r="Z30" s="38"/>
      <c r="AA30" s="1"/>
      <c r="AB30" s="1"/>
      <c r="AC30" s="1"/>
      <c r="AD30" s="1"/>
    </row>
    <row r="31" spans="1:30" ht="15">
      <c r="A31" t="s">
        <v>27</v>
      </c>
      <c r="B31" s="2">
        <f>VLOOKUP($A31,'County Totals'!$A:$D,2,FALSE)</f>
        <v>236.99300000000005</v>
      </c>
      <c r="C31" s="2">
        <f>VLOOKUP($A31,'County Totals'!$A:$D,3,FALSE)</f>
        <v>2814</v>
      </c>
      <c r="D31" s="2">
        <f>VLOOKUP($A31,'County Totals'!$A:$D,4,FALSE)</f>
        <v>667003.803</v>
      </c>
      <c r="E31" s="4">
        <v>4</v>
      </c>
      <c r="F31" s="4">
        <v>184</v>
      </c>
      <c r="G31" s="4">
        <v>574</v>
      </c>
      <c r="H31" s="3">
        <f t="shared" si="0"/>
        <v>0.4715423608239989</v>
      </c>
      <c r="I31" s="32">
        <f>SUM(E31:F31)/SUM('County Totals'!$E30:$F30)</f>
        <v>0.3357142857142857</v>
      </c>
      <c r="J31">
        <f t="shared" si="1"/>
        <v>24</v>
      </c>
      <c r="K31" s="1">
        <v>2</v>
      </c>
      <c r="L31" s="1">
        <v>13</v>
      </c>
      <c r="M31" s="1">
        <v>49</v>
      </c>
      <c r="N31" s="3">
        <f t="shared" si="2"/>
        <v>0.04025361616790235</v>
      </c>
      <c r="O31" s="32">
        <f>SUM(K31:L31)/SUM('County Totals'!$E30:$F30)</f>
        <v>0.026785714285714284</v>
      </c>
      <c r="P31">
        <f t="shared" si="3"/>
        <v>44</v>
      </c>
      <c r="Q31" s="1"/>
      <c r="R31" s="1"/>
      <c r="Y31" s="38"/>
      <c r="Z31" s="38"/>
      <c r="AA31" s="1"/>
      <c r="AB31" s="1"/>
      <c r="AC31" s="1"/>
      <c r="AD31" s="1"/>
    </row>
    <row r="32" spans="1:30" ht="15">
      <c r="A32" t="s">
        <v>28</v>
      </c>
      <c r="B32" s="2">
        <f>VLOOKUP($A32,'County Totals'!$A:$D,2,FALSE)</f>
        <v>323.4029999999999</v>
      </c>
      <c r="C32" s="2">
        <f>VLOOKUP($A32,'County Totals'!$A:$D,3,FALSE)</f>
        <v>1897</v>
      </c>
      <c r="D32" s="2">
        <f>VLOOKUP($A32,'County Totals'!$A:$D,4,FALSE)</f>
        <v>613507.4199999998</v>
      </c>
      <c r="E32" s="4">
        <v>6</v>
      </c>
      <c r="F32" s="4">
        <v>274</v>
      </c>
      <c r="G32" s="4">
        <v>735</v>
      </c>
      <c r="H32" s="3">
        <f t="shared" si="0"/>
        <v>0.6564545315970218</v>
      </c>
      <c r="I32" s="32">
        <f>SUM(E32:F32)/SUM('County Totals'!$E31:$F31)</f>
        <v>0.3491271820448878</v>
      </c>
      <c r="J32">
        <f t="shared" si="1"/>
        <v>45</v>
      </c>
      <c r="K32" s="1">
        <v>1</v>
      </c>
      <c r="L32" s="1">
        <v>23</v>
      </c>
      <c r="M32" s="1">
        <v>78</v>
      </c>
      <c r="N32" s="3">
        <f t="shared" si="2"/>
        <v>0.0696645625368268</v>
      </c>
      <c r="O32" s="32">
        <f>SUM(K32:L32)/SUM('County Totals'!$E31:$F31)</f>
        <v>0.029925187032418952</v>
      </c>
      <c r="P32">
        <f t="shared" si="3"/>
        <v>66</v>
      </c>
      <c r="Q32" s="1"/>
      <c r="R32" s="1"/>
      <c r="Y32" s="38"/>
      <c r="Z32" s="38"/>
      <c r="AA32" s="1"/>
      <c r="AB32" s="1"/>
      <c r="AC32" s="1"/>
      <c r="AD32" s="1"/>
    </row>
    <row r="33" spans="1:30" ht="15">
      <c r="A33" t="s">
        <v>29</v>
      </c>
      <c r="B33" s="2">
        <f>VLOOKUP($A33,'County Totals'!$A:$D,2,FALSE)</f>
        <v>403.624</v>
      </c>
      <c r="C33" s="2">
        <f>VLOOKUP($A33,'County Totals'!$A:$D,3,FALSE)</f>
        <v>421</v>
      </c>
      <c r="D33" s="2">
        <f>VLOOKUP($A33,'County Totals'!$A:$D,4,FALSE)</f>
        <v>169953.35699999993</v>
      </c>
      <c r="E33" s="4">
        <v>2</v>
      </c>
      <c r="F33" s="4">
        <v>117</v>
      </c>
      <c r="G33" s="4">
        <v>314</v>
      </c>
      <c r="H33" s="3">
        <f t="shared" si="0"/>
        <v>1.0123647897143215</v>
      </c>
      <c r="I33" s="32">
        <f>SUM(E33:F33)/SUM('County Totals'!$E32:$F32)</f>
        <v>0.5384615384615384</v>
      </c>
      <c r="J33">
        <f t="shared" si="1"/>
        <v>69</v>
      </c>
      <c r="K33" s="1">
        <v>1</v>
      </c>
      <c r="L33" s="1">
        <v>16</v>
      </c>
      <c r="M33" s="1">
        <v>65</v>
      </c>
      <c r="N33" s="3">
        <f t="shared" si="2"/>
        <v>0.20956595965423855</v>
      </c>
      <c r="O33" s="32">
        <f>SUM(K33:L33)/SUM('County Totals'!$E32:$F32)</f>
        <v>0.07692307692307693</v>
      </c>
      <c r="P33">
        <f t="shared" si="3"/>
        <v>88</v>
      </c>
      <c r="Q33" s="1"/>
      <c r="R33" s="1"/>
      <c r="Y33" s="38"/>
      <c r="Z33" s="38"/>
      <c r="AA33" s="1"/>
      <c r="AB33" s="1"/>
      <c r="AC33" s="1"/>
      <c r="AD33" s="1"/>
    </row>
    <row r="34" spans="1:30" ht="15">
      <c r="A34" t="s">
        <v>30</v>
      </c>
      <c r="B34" s="2">
        <f>VLOOKUP($A34,'County Totals'!$A:$D,2,FALSE)</f>
        <v>511.58099999999996</v>
      </c>
      <c r="C34" s="2">
        <f>VLOOKUP($A34,'County Totals'!$A:$D,3,FALSE)</f>
        <v>5190</v>
      </c>
      <c r="D34" s="2">
        <f>VLOOKUP($A34,'County Totals'!$A:$D,4,FALSE)</f>
        <v>2655262.417</v>
      </c>
      <c r="E34" s="4">
        <v>22</v>
      </c>
      <c r="F34" s="4">
        <v>914</v>
      </c>
      <c r="G34" s="4">
        <v>2812</v>
      </c>
      <c r="H34" s="3">
        <f t="shared" si="0"/>
        <v>0.5802898831931983</v>
      </c>
      <c r="I34" s="32">
        <f>SUM(E34:F34)/SUM('County Totals'!$E33:$F33)</f>
        <v>0.2065769145883911</v>
      </c>
      <c r="J34">
        <f t="shared" si="1"/>
        <v>36</v>
      </c>
      <c r="K34" s="1">
        <v>2</v>
      </c>
      <c r="L34" s="1">
        <v>79</v>
      </c>
      <c r="M34" s="1">
        <v>313</v>
      </c>
      <c r="N34" s="3">
        <f t="shared" si="2"/>
        <v>0.06459129923167534</v>
      </c>
      <c r="O34" s="32">
        <f>SUM(K34:L34)/SUM('County Totals'!$E33:$F33)</f>
        <v>0.017876848377841537</v>
      </c>
      <c r="P34">
        <f t="shared" si="3"/>
        <v>64</v>
      </c>
      <c r="Q34" s="1"/>
      <c r="R34" s="1"/>
      <c r="Y34" s="38"/>
      <c r="Z34" s="38"/>
      <c r="AA34" s="1"/>
      <c r="AB34" s="1"/>
      <c r="AC34" s="1"/>
      <c r="AD34" s="1"/>
    </row>
    <row r="35" spans="1:30" ht="15">
      <c r="A35" t="s">
        <v>31</v>
      </c>
      <c r="B35" s="2">
        <f>VLOOKUP($A35,'County Totals'!$A:$D,2,FALSE)</f>
        <v>385.3810000000001</v>
      </c>
      <c r="C35" s="2">
        <f>VLOOKUP($A35,'County Totals'!$A:$D,3,FALSE)</f>
        <v>872</v>
      </c>
      <c r="D35" s="2">
        <f>VLOOKUP($A35,'County Totals'!$A:$D,4,FALSE)</f>
        <v>335880.58599999995</v>
      </c>
      <c r="E35" s="4">
        <v>5</v>
      </c>
      <c r="F35" s="4">
        <v>68</v>
      </c>
      <c r="G35" s="4">
        <v>270</v>
      </c>
      <c r="H35" s="3">
        <f t="shared" si="0"/>
        <v>0.44046965393662874</v>
      </c>
      <c r="I35" s="32">
        <f>SUM(E35:F35)/SUM('County Totals'!$E34:$F34)</f>
        <v>0.33031674208144796</v>
      </c>
      <c r="J35">
        <f t="shared" si="1"/>
        <v>20</v>
      </c>
      <c r="K35" s="1">
        <v>0</v>
      </c>
      <c r="L35" s="1">
        <v>0</v>
      </c>
      <c r="M35" s="1">
        <v>5</v>
      </c>
      <c r="N35" s="3">
        <f t="shared" si="2"/>
        <v>0.008156845443270902</v>
      </c>
      <c r="O35" s="32">
        <f>SUM(K35:L35)/SUM('County Totals'!$E34:$F34)</f>
        <v>0</v>
      </c>
      <c r="P35">
        <f t="shared" si="3"/>
        <v>1</v>
      </c>
      <c r="Q35" s="1"/>
      <c r="R35" s="1"/>
      <c r="Y35" s="38"/>
      <c r="Z35" s="38"/>
      <c r="AA35" s="1"/>
      <c r="AB35" s="1"/>
      <c r="AC35" s="1"/>
      <c r="AD35" s="1"/>
    </row>
    <row r="36" spans="1:30" ht="15">
      <c r="A36" t="s">
        <v>32</v>
      </c>
      <c r="B36" s="2">
        <f>VLOOKUP($A36,'County Totals'!$A:$D,2,FALSE)</f>
        <v>391.51800000000026</v>
      </c>
      <c r="C36" s="2">
        <f>VLOOKUP($A36,'County Totals'!$A:$D,3,FALSE)</f>
        <v>395</v>
      </c>
      <c r="D36" s="2">
        <f>VLOOKUP($A36,'County Totals'!$A:$D,4,FALSE)</f>
        <v>154609.23100000006</v>
      </c>
      <c r="E36" s="4">
        <v>3</v>
      </c>
      <c r="F36" s="4">
        <v>60</v>
      </c>
      <c r="G36" s="4">
        <v>171</v>
      </c>
      <c r="H36" s="3">
        <f aca="true" t="shared" si="4" ref="H36:H67">G36*1000000/(5*365*$B36*$D36/$B36)</f>
        <v>0.6060351605848571</v>
      </c>
      <c r="I36" s="32">
        <f>SUM(E36:F36)/SUM('County Totals'!$E35:$F35)</f>
        <v>0.5294117647058824</v>
      </c>
      <c r="J36">
        <f aca="true" t="shared" si="5" ref="J36:J67">_xlfn.RANK.AVG(H36,H$1:H$65536,1)</f>
        <v>38</v>
      </c>
      <c r="K36" s="1">
        <v>0</v>
      </c>
      <c r="L36" s="1">
        <v>2</v>
      </c>
      <c r="M36" s="1">
        <v>8</v>
      </c>
      <c r="N36" s="3">
        <f aca="true" t="shared" si="6" ref="N36:N67">M36*1000000/(5*365*$B36*$D36/$B36)</f>
        <v>0.028352522132624892</v>
      </c>
      <c r="O36" s="32">
        <f>SUM(K36:L36)/SUM('County Totals'!$E35:$F35)</f>
        <v>0.01680672268907563</v>
      </c>
      <c r="P36">
        <f aca="true" t="shared" si="7" ref="P36:P67">_xlfn.RANK.AVG(N36,N$1:N$65536,1)</f>
        <v>32</v>
      </c>
      <c r="Q36" s="1"/>
      <c r="R36" s="1"/>
      <c r="Y36" s="38"/>
      <c r="Z36" s="38"/>
      <c r="AA36" s="1"/>
      <c r="AB36" s="1"/>
      <c r="AC36" s="1"/>
      <c r="AD36" s="1"/>
    </row>
    <row r="37" spans="1:30" ht="15">
      <c r="A37" t="s">
        <v>33</v>
      </c>
      <c r="B37" s="2">
        <f>VLOOKUP($A37,'County Totals'!$A:$D,2,FALSE)</f>
        <v>265.9</v>
      </c>
      <c r="C37" s="2">
        <f>VLOOKUP($A37,'County Totals'!$A:$D,3,FALSE)</f>
        <v>300</v>
      </c>
      <c r="D37" s="2">
        <f>VLOOKUP($A37,'County Totals'!$A:$D,4,FALSE)</f>
        <v>79866.59999999998</v>
      </c>
      <c r="E37" s="4">
        <v>4</v>
      </c>
      <c r="F37" s="4">
        <v>49</v>
      </c>
      <c r="G37" s="4">
        <v>150</v>
      </c>
      <c r="H37" s="3">
        <f t="shared" si="4"/>
        <v>1.0291133067129168</v>
      </c>
      <c r="I37" s="32">
        <f>SUM(E37:F37)/SUM('County Totals'!$E36:$F36)</f>
        <v>0.6463414634146342</v>
      </c>
      <c r="J37">
        <f t="shared" si="5"/>
        <v>73</v>
      </c>
      <c r="K37" s="1">
        <v>0</v>
      </c>
      <c r="L37" s="1">
        <v>1</v>
      </c>
      <c r="M37" s="1">
        <v>12</v>
      </c>
      <c r="N37" s="3">
        <f t="shared" si="6"/>
        <v>0.08232906453703334</v>
      </c>
      <c r="O37" s="32">
        <f>SUM(K37:L37)/SUM('County Totals'!$E36:$F36)</f>
        <v>0.012195121951219513</v>
      </c>
      <c r="P37">
        <f t="shared" si="7"/>
        <v>70</v>
      </c>
      <c r="Q37" s="1"/>
      <c r="R37" s="1"/>
      <c r="Y37" s="38"/>
      <c r="Z37" s="38"/>
      <c r="AA37" s="1"/>
      <c r="AB37" s="1"/>
      <c r="AC37" s="1"/>
      <c r="AD37" s="1"/>
    </row>
    <row r="38" spans="1:30" ht="15">
      <c r="A38" t="s">
        <v>34</v>
      </c>
      <c r="B38" s="2">
        <f>VLOOKUP($A38,'County Totals'!$A:$D,2,FALSE)</f>
        <v>429.3439999999995</v>
      </c>
      <c r="C38" s="2">
        <f>VLOOKUP($A38,'County Totals'!$A:$D,3,FALSE)</f>
        <v>562</v>
      </c>
      <c r="D38" s="2">
        <f>VLOOKUP($A38,'County Totals'!$A:$D,4,FALSE)</f>
        <v>241343.573</v>
      </c>
      <c r="E38" s="4">
        <v>1</v>
      </c>
      <c r="F38" s="4">
        <v>79</v>
      </c>
      <c r="G38" s="4">
        <v>217</v>
      </c>
      <c r="H38" s="3">
        <f t="shared" si="4"/>
        <v>0.49267568268346257</v>
      </c>
      <c r="I38" s="32">
        <f>SUM(E38:F38)/SUM('County Totals'!$E37:$F37)</f>
        <v>0.5161290322580645</v>
      </c>
      <c r="J38">
        <f t="shared" si="5"/>
        <v>26</v>
      </c>
      <c r="K38" s="1">
        <v>0</v>
      </c>
      <c r="L38" s="1">
        <v>2</v>
      </c>
      <c r="M38" s="1">
        <v>9</v>
      </c>
      <c r="N38" s="3">
        <f t="shared" si="6"/>
        <v>0.02043355365968278</v>
      </c>
      <c r="O38" s="32">
        <f>SUM(K38:L38)/SUM('County Totals'!$E37:$F37)</f>
        <v>0.012903225806451613</v>
      </c>
      <c r="P38">
        <f t="shared" si="7"/>
        <v>12</v>
      </c>
      <c r="Q38" s="1"/>
      <c r="R38" s="1"/>
      <c r="Y38" s="38"/>
      <c r="Z38" s="38"/>
      <c r="AA38" s="1"/>
      <c r="AB38" s="1"/>
      <c r="AC38" s="1"/>
      <c r="AD38" s="1"/>
    </row>
    <row r="39" spans="1:30" ht="15">
      <c r="A39" t="s">
        <v>35</v>
      </c>
      <c r="B39" s="2">
        <f>VLOOKUP($A39,'County Totals'!$A:$D,2,FALSE)</f>
        <v>392.1030000000001</v>
      </c>
      <c r="C39" s="2">
        <f>VLOOKUP($A39,'County Totals'!$A:$D,3,FALSE)</f>
        <v>535</v>
      </c>
      <c r="D39" s="2">
        <f>VLOOKUP($A39,'County Totals'!$A:$D,4,FALSE)</f>
        <v>209634.95199999984</v>
      </c>
      <c r="E39" s="4">
        <v>2</v>
      </c>
      <c r="F39" s="4">
        <v>98</v>
      </c>
      <c r="G39" s="4">
        <v>269</v>
      </c>
      <c r="H39" s="3">
        <f t="shared" si="4"/>
        <v>0.703113955319687</v>
      </c>
      <c r="I39" s="32">
        <f>SUM(E39:F39)/SUM('County Totals'!$E38:$F38)</f>
        <v>0.5617977528089888</v>
      </c>
      <c r="J39">
        <f t="shared" si="5"/>
        <v>49</v>
      </c>
      <c r="K39" s="1">
        <v>0</v>
      </c>
      <c r="L39" s="1">
        <v>9</v>
      </c>
      <c r="M39" s="1">
        <v>20</v>
      </c>
      <c r="N39" s="3">
        <f t="shared" si="6"/>
        <v>0.05227613050703993</v>
      </c>
      <c r="O39" s="32">
        <f>SUM(K39:L39)/SUM('County Totals'!$E38:$F38)</f>
        <v>0.05056179775280899</v>
      </c>
      <c r="P39">
        <f t="shared" si="7"/>
        <v>53</v>
      </c>
      <c r="Q39" s="1"/>
      <c r="R39" s="1"/>
      <c r="Y39" s="38"/>
      <c r="Z39" s="38"/>
      <c r="AA39" s="1"/>
      <c r="AB39" s="1"/>
      <c r="AC39" s="1"/>
      <c r="AD39" s="1"/>
    </row>
    <row r="40" spans="1:30" ht="15">
      <c r="A40" t="s">
        <v>36</v>
      </c>
      <c r="B40" s="2">
        <f>VLOOKUP($A40,'County Totals'!$A:$D,2,FALSE)</f>
        <v>212.22299999999998</v>
      </c>
      <c r="C40" s="2">
        <f>VLOOKUP($A40,'County Totals'!$A:$D,3,FALSE)</f>
        <v>416</v>
      </c>
      <c r="D40" s="2">
        <f>VLOOKUP($A40,'County Totals'!$A:$D,4,FALSE)</f>
        <v>88228.29099999994</v>
      </c>
      <c r="E40" s="4">
        <v>3</v>
      </c>
      <c r="F40" s="4">
        <v>110</v>
      </c>
      <c r="G40" s="4">
        <v>255</v>
      </c>
      <c r="H40" s="3">
        <f t="shared" si="4"/>
        <v>1.5836873389881299</v>
      </c>
      <c r="I40" s="32">
        <f>SUM(E40:F40)/SUM('County Totals'!$E39:$F39)</f>
        <v>0.6807228915662651</v>
      </c>
      <c r="J40">
        <f t="shared" si="5"/>
        <v>85</v>
      </c>
      <c r="K40" s="1">
        <v>0</v>
      </c>
      <c r="L40" s="1">
        <v>9</v>
      </c>
      <c r="M40" s="1">
        <v>15</v>
      </c>
      <c r="N40" s="3">
        <f t="shared" si="6"/>
        <v>0.09315807876400764</v>
      </c>
      <c r="O40" s="32">
        <f>SUM(K40:L40)/SUM('County Totals'!$E39:$F39)</f>
        <v>0.05421686746987952</v>
      </c>
      <c r="P40">
        <f t="shared" si="7"/>
        <v>74</v>
      </c>
      <c r="Q40" s="1"/>
      <c r="R40" s="1"/>
      <c r="Y40" s="38"/>
      <c r="Z40" s="38"/>
      <c r="AA40" s="1"/>
      <c r="AB40" s="1"/>
      <c r="AC40" s="1"/>
      <c r="AD40" s="1"/>
    </row>
    <row r="41" spans="1:30" ht="15">
      <c r="A41" t="s">
        <v>37</v>
      </c>
      <c r="B41" s="2">
        <f>VLOOKUP($A41,'County Totals'!$A:$D,2,FALSE)</f>
        <v>251.05400000000026</v>
      </c>
      <c r="C41" s="2">
        <f>VLOOKUP($A41,'County Totals'!$A:$D,3,FALSE)</f>
        <v>675</v>
      </c>
      <c r="D41" s="2">
        <f>VLOOKUP($A41,'County Totals'!$A:$D,4,FALSE)</f>
        <v>169534.74700000003</v>
      </c>
      <c r="E41" s="4">
        <v>3</v>
      </c>
      <c r="F41" s="4">
        <v>71</v>
      </c>
      <c r="G41" s="4">
        <v>250</v>
      </c>
      <c r="H41" s="3">
        <f t="shared" si="4"/>
        <v>0.8080131288358428</v>
      </c>
      <c r="I41" s="32">
        <f>SUM(E41:F41)/SUM('County Totals'!$E40:$F40)</f>
        <v>0.4</v>
      </c>
      <c r="J41">
        <f t="shared" si="5"/>
        <v>61</v>
      </c>
      <c r="K41" s="1">
        <v>1</v>
      </c>
      <c r="L41" s="1">
        <v>8</v>
      </c>
      <c r="M41" s="1">
        <v>26</v>
      </c>
      <c r="N41" s="3">
        <f t="shared" si="6"/>
        <v>0.08403336539892764</v>
      </c>
      <c r="O41" s="32">
        <f>SUM(K41:L41)/SUM('County Totals'!$E40:$F40)</f>
        <v>0.04864864864864865</v>
      </c>
      <c r="P41">
        <f t="shared" si="7"/>
        <v>71</v>
      </c>
      <c r="Q41" s="1"/>
      <c r="R41" s="1"/>
      <c r="Y41" s="38"/>
      <c r="Z41" s="38"/>
      <c r="AA41" s="1"/>
      <c r="AB41" s="1"/>
      <c r="AC41" s="1"/>
      <c r="AD41" s="1"/>
    </row>
    <row r="42" spans="1:30" ht="15">
      <c r="A42" t="s">
        <v>38</v>
      </c>
      <c r="B42" s="2">
        <f>VLOOKUP($A42,'County Totals'!$A:$D,2,FALSE)</f>
        <v>231.55199999999982</v>
      </c>
      <c r="C42" s="2">
        <f>VLOOKUP($A42,'County Totals'!$A:$D,3,FALSE)</f>
        <v>725</v>
      </c>
      <c r="D42" s="2">
        <f>VLOOKUP($A42,'County Totals'!$A:$D,4,FALSE)</f>
        <v>167780.78999999983</v>
      </c>
      <c r="E42" s="4">
        <v>2</v>
      </c>
      <c r="F42" s="4">
        <v>91</v>
      </c>
      <c r="G42" s="4">
        <v>233</v>
      </c>
      <c r="H42" s="3">
        <f t="shared" si="4"/>
        <v>0.760940706482026</v>
      </c>
      <c r="I42" s="32">
        <f>SUM(E42:F42)/SUM('County Totals'!$E41:$F41)</f>
        <v>0.5406976744186046</v>
      </c>
      <c r="J42">
        <f t="shared" si="5"/>
        <v>57</v>
      </c>
      <c r="K42" s="1">
        <v>0</v>
      </c>
      <c r="L42" s="1">
        <v>7</v>
      </c>
      <c r="M42" s="1">
        <v>21</v>
      </c>
      <c r="N42" s="3">
        <f t="shared" si="6"/>
        <v>0.06858263878164184</v>
      </c>
      <c r="O42" s="32">
        <f>SUM(K42:L42)/SUM('County Totals'!$E41:$F41)</f>
        <v>0.040697674418604654</v>
      </c>
      <c r="P42">
        <f t="shared" si="7"/>
        <v>65</v>
      </c>
      <c r="Q42" s="1"/>
      <c r="R42" s="1"/>
      <c r="Y42" s="38"/>
      <c r="Z42" s="38"/>
      <c r="AA42" s="1"/>
      <c r="AB42" s="1"/>
      <c r="AC42" s="1"/>
      <c r="AD42" s="1"/>
    </row>
    <row r="43" spans="1:30" ht="15">
      <c r="A43" t="s">
        <v>39</v>
      </c>
      <c r="B43" s="2">
        <f>VLOOKUP($A43,'County Totals'!$A:$D,2,FALSE)</f>
        <v>295.6529999999996</v>
      </c>
      <c r="C43" s="2">
        <f>VLOOKUP($A43,'County Totals'!$A:$D,3,FALSE)</f>
        <v>423</v>
      </c>
      <c r="D43" s="2">
        <f>VLOOKUP($A43,'County Totals'!$A:$D,4,FALSE)</f>
        <v>125171.09799999998</v>
      </c>
      <c r="E43" s="4">
        <v>4</v>
      </c>
      <c r="F43" s="4">
        <v>101</v>
      </c>
      <c r="G43" s="4">
        <v>314</v>
      </c>
      <c r="H43" s="3">
        <f t="shared" si="4"/>
        <v>1.3745568846935254</v>
      </c>
      <c r="I43" s="32">
        <f>SUM(E43:F43)/SUM('County Totals'!$E42:$F42)</f>
        <v>0.5223880597014925</v>
      </c>
      <c r="J43">
        <f t="shared" si="5"/>
        <v>81</v>
      </c>
      <c r="K43" s="1">
        <v>0</v>
      </c>
      <c r="L43" s="1">
        <v>9</v>
      </c>
      <c r="M43" s="1">
        <v>26</v>
      </c>
      <c r="N43" s="3">
        <f t="shared" si="6"/>
        <v>0.11381681210838109</v>
      </c>
      <c r="O43" s="32">
        <f>SUM(K43:L43)/SUM('County Totals'!$E42:$F42)</f>
        <v>0.04477611940298507</v>
      </c>
      <c r="P43">
        <f t="shared" si="7"/>
        <v>78</v>
      </c>
      <c r="Q43" s="1"/>
      <c r="R43" s="1"/>
      <c r="Y43" s="38"/>
      <c r="Z43" s="38"/>
      <c r="AA43" s="1"/>
      <c r="AB43" s="1"/>
      <c r="AC43" s="1"/>
      <c r="AD43" s="1"/>
    </row>
    <row r="44" spans="1:30" ht="15">
      <c r="A44" t="s">
        <v>40</v>
      </c>
      <c r="B44" s="2">
        <f>VLOOKUP($A44,'County Totals'!$A:$D,2,FALSE)</f>
        <v>259.38899999999984</v>
      </c>
      <c r="C44" s="2">
        <f>VLOOKUP($A44,'County Totals'!$A:$D,3,FALSE)</f>
        <v>658</v>
      </c>
      <c r="D44" s="2">
        <f>VLOOKUP($A44,'County Totals'!$A:$D,4,FALSE)</f>
        <v>170561.17900000003</v>
      </c>
      <c r="E44" s="4">
        <v>4</v>
      </c>
      <c r="F44" s="4">
        <v>116</v>
      </c>
      <c r="G44" s="4">
        <v>374</v>
      </c>
      <c r="H44" s="3">
        <f t="shared" si="4"/>
        <v>1.201513193393879</v>
      </c>
      <c r="I44" s="32">
        <f>SUM(E44:F44)/SUM('County Totals'!$E43:$F43)</f>
        <v>0.46875</v>
      </c>
      <c r="J44">
        <f t="shared" si="5"/>
        <v>78</v>
      </c>
      <c r="K44" s="1">
        <v>0</v>
      </c>
      <c r="L44" s="1">
        <v>18</v>
      </c>
      <c r="M44" s="1">
        <v>56</v>
      </c>
      <c r="N44" s="3">
        <f t="shared" si="6"/>
        <v>0.17990571879694445</v>
      </c>
      <c r="O44" s="32">
        <f>SUM(K44:L44)/SUM('County Totals'!$E43:$F43)</f>
        <v>0.0703125</v>
      </c>
      <c r="P44">
        <f t="shared" si="7"/>
        <v>85</v>
      </c>
      <c r="Q44" s="1"/>
      <c r="R44" s="1"/>
      <c r="Y44" s="38"/>
      <c r="Z44" s="38"/>
      <c r="AA44" s="1"/>
      <c r="AB44" s="1"/>
      <c r="AC44" s="1"/>
      <c r="AD44" s="1"/>
    </row>
    <row r="45" spans="1:30" ht="15">
      <c r="A45" t="s">
        <v>41</v>
      </c>
      <c r="B45" s="2">
        <f>VLOOKUP($A45,'County Totals'!$A:$D,2,FALSE)</f>
        <v>406.529</v>
      </c>
      <c r="C45" s="2">
        <f>VLOOKUP($A45,'County Totals'!$A:$D,3,FALSE)</f>
        <v>532</v>
      </c>
      <c r="D45" s="2">
        <f>VLOOKUP($A45,'County Totals'!$A:$D,4,FALSE)</f>
        <v>216075.06199999983</v>
      </c>
      <c r="E45" s="4">
        <v>2</v>
      </c>
      <c r="F45" s="4">
        <v>143</v>
      </c>
      <c r="G45" s="4">
        <v>403</v>
      </c>
      <c r="H45" s="3">
        <f t="shared" si="4"/>
        <v>1.0219685500227664</v>
      </c>
      <c r="I45" s="32">
        <f>SUM(E45:F45)/SUM('County Totals'!$E44:$F44)</f>
        <v>0.5272727272727272</v>
      </c>
      <c r="J45">
        <f t="shared" si="5"/>
        <v>72</v>
      </c>
      <c r="K45" s="1">
        <v>0</v>
      </c>
      <c r="L45" s="1">
        <v>2</v>
      </c>
      <c r="M45" s="1">
        <v>10</v>
      </c>
      <c r="N45" s="3">
        <f t="shared" si="6"/>
        <v>0.025359021092376338</v>
      </c>
      <c r="O45" s="32">
        <f>SUM(K45:L45)/SUM('County Totals'!$E44:$F44)</f>
        <v>0.007272727272727273</v>
      </c>
      <c r="P45">
        <f t="shared" si="7"/>
        <v>25</v>
      </c>
      <c r="Q45" s="1"/>
      <c r="R45" s="1"/>
      <c r="Y45" s="38"/>
      <c r="Z45" s="38"/>
      <c r="AA45" s="1"/>
      <c r="AB45" s="1"/>
      <c r="AC45" s="1"/>
      <c r="AD45" s="1"/>
    </row>
    <row r="46" spans="1:30" ht="15">
      <c r="A46" t="s">
        <v>42</v>
      </c>
      <c r="B46" s="2">
        <f>VLOOKUP($A46,'County Totals'!$A:$D,2,FALSE)</f>
        <v>150.39800000000008</v>
      </c>
      <c r="C46" s="2">
        <f>VLOOKUP($A46,'County Totals'!$A:$D,3,FALSE)</f>
        <v>2468</v>
      </c>
      <c r="D46" s="2">
        <f>VLOOKUP($A46,'County Totals'!$A:$D,4,FALSE)</f>
        <v>371246.50199999986</v>
      </c>
      <c r="E46" s="4">
        <v>3</v>
      </c>
      <c r="F46" s="4">
        <v>71</v>
      </c>
      <c r="G46" s="4">
        <v>278</v>
      </c>
      <c r="H46" s="3">
        <f t="shared" si="4"/>
        <v>0.410317043534831</v>
      </c>
      <c r="I46" s="32">
        <f>SUM(E46:F46)/SUM('County Totals'!$E45:$F45)</f>
        <v>0.23052959501557632</v>
      </c>
      <c r="J46">
        <f t="shared" si="5"/>
        <v>16</v>
      </c>
      <c r="K46" s="1">
        <v>0</v>
      </c>
      <c r="L46" s="1">
        <v>2</v>
      </c>
      <c r="M46" s="1">
        <v>18</v>
      </c>
      <c r="N46" s="3">
        <f t="shared" si="6"/>
        <v>0.02656729058858618</v>
      </c>
      <c r="O46" s="32">
        <f>SUM(K46:L46)/SUM('County Totals'!$E45:$F45)</f>
        <v>0.006230529595015576</v>
      </c>
      <c r="P46">
        <f t="shared" si="7"/>
        <v>30</v>
      </c>
      <c r="Q46" s="1"/>
      <c r="R46" s="1"/>
      <c r="Y46" s="38"/>
      <c r="Z46" s="38"/>
      <c r="AA46" s="1"/>
      <c r="AB46" s="1"/>
      <c r="AC46" s="1"/>
      <c r="AD46" s="1"/>
    </row>
    <row r="47" spans="1:30" ht="15">
      <c r="A47" t="s">
        <v>43</v>
      </c>
      <c r="B47" s="2">
        <f>VLOOKUP($A47,'County Totals'!$A:$D,2,FALSE)</f>
        <v>377.76599999999985</v>
      </c>
      <c r="C47" s="2">
        <f>VLOOKUP($A47,'County Totals'!$A:$D,3,FALSE)</f>
        <v>595</v>
      </c>
      <c r="D47" s="2">
        <f>VLOOKUP($A47,'County Totals'!$A:$D,4,FALSE)</f>
        <v>224731.72699999998</v>
      </c>
      <c r="E47" s="4">
        <v>0</v>
      </c>
      <c r="F47" s="4">
        <v>201</v>
      </c>
      <c r="G47" s="4">
        <v>520</v>
      </c>
      <c r="H47" s="3">
        <f t="shared" si="4"/>
        <v>1.2678739697902783</v>
      </c>
      <c r="I47" s="32">
        <f>SUM(E47:F47)/SUM('County Totals'!$E46:$F46)</f>
        <v>0.3647912885662432</v>
      </c>
      <c r="J47">
        <f t="shared" si="5"/>
        <v>79</v>
      </c>
      <c r="K47" s="1">
        <v>0</v>
      </c>
      <c r="L47" s="1">
        <v>13</v>
      </c>
      <c r="M47" s="1">
        <v>39</v>
      </c>
      <c r="N47" s="3">
        <f t="shared" si="6"/>
        <v>0.09509054773427088</v>
      </c>
      <c r="O47" s="32">
        <f>SUM(K47:L47)/SUM('County Totals'!$E46:$F46)</f>
        <v>0.023593466424682397</v>
      </c>
      <c r="P47">
        <f t="shared" si="7"/>
        <v>75</v>
      </c>
      <c r="Q47" s="1"/>
      <c r="R47" s="1"/>
      <c r="Y47" s="38"/>
      <c r="Z47" s="38"/>
      <c r="AA47" s="1"/>
      <c r="AB47" s="1"/>
      <c r="AC47" s="1"/>
      <c r="AD47" s="1"/>
    </row>
    <row r="48" spans="1:30" ht="15">
      <c r="A48" t="s">
        <v>44</v>
      </c>
      <c r="B48" s="2">
        <f>VLOOKUP($A48,'County Totals'!$A:$D,2,FALSE)</f>
        <v>426.6639999999997</v>
      </c>
      <c r="C48" s="2">
        <f>VLOOKUP($A48,'County Totals'!$A:$D,3,FALSE)</f>
        <v>1193</v>
      </c>
      <c r="D48" s="2">
        <f>VLOOKUP($A48,'County Totals'!$A:$D,4,FALSE)</f>
        <v>509171.8729999996</v>
      </c>
      <c r="E48" s="4">
        <v>5</v>
      </c>
      <c r="F48" s="4">
        <v>241</v>
      </c>
      <c r="G48" s="4">
        <v>658</v>
      </c>
      <c r="H48" s="3">
        <f t="shared" si="4"/>
        <v>0.7081065634697377</v>
      </c>
      <c r="I48" s="32">
        <f>SUM(E48:F48)/SUM('County Totals'!$E47:$F47)</f>
        <v>0.40728476821192056</v>
      </c>
      <c r="J48">
        <f t="shared" si="5"/>
        <v>50</v>
      </c>
      <c r="K48" s="1">
        <v>2</v>
      </c>
      <c r="L48" s="1">
        <v>9</v>
      </c>
      <c r="M48" s="1">
        <v>29</v>
      </c>
      <c r="N48" s="3">
        <f t="shared" si="6"/>
        <v>0.031208343982708803</v>
      </c>
      <c r="O48" s="32">
        <f>SUM(K48:L48)/SUM('County Totals'!$E47:$F47)</f>
        <v>0.018211920529801324</v>
      </c>
      <c r="P48">
        <f t="shared" si="7"/>
        <v>36</v>
      </c>
      <c r="Q48" s="1"/>
      <c r="R48" s="1"/>
      <c r="Y48" s="38"/>
      <c r="Z48" s="38"/>
      <c r="AA48" s="1"/>
      <c r="AB48" s="1"/>
      <c r="AC48" s="1"/>
      <c r="AD48" s="1"/>
    </row>
    <row r="49" spans="1:30" ht="15">
      <c r="A49" t="s">
        <v>45</v>
      </c>
      <c r="B49" s="2">
        <f>VLOOKUP($A49,'County Totals'!$A:$D,2,FALSE)</f>
        <v>371.706</v>
      </c>
      <c r="C49" s="2">
        <f>VLOOKUP($A49,'County Totals'!$A:$D,3,FALSE)</f>
        <v>604</v>
      </c>
      <c r="D49" s="2">
        <f>VLOOKUP($A49,'County Totals'!$A:$D,4,FALSE)</f>
        <v>224485.95300000015</v>
      </c>
      <c r="E49" s="4">
        <v>5</v>
      </c>
      <c r="F49" s="4">
        <v>125</v>
      </c>
      <c r="G49" s="4">
        <v>402</v>
      </c>
      <c r="H49" s="3">
        <f t="shared" si="4"/>
        <v>0.981237220676964</v>
      </c>
      <c r="I49" s="32">
        <f>SUM(E49:F49)/SUM('County Totals'!$E48:$F48)</f>
        <v>0.5306122448979592</v>
      </c>
      <c r="J49">
        <f t="shared" si="5"/>
        <v>68</v>
      </c>
      <c r="K49" s="1">
        <v>1</v>
      </c>
      <c r="L49" s="1">
        <v>5</v>
      </c>
      <c r="M49" s="1">
        <v>23</v>
      </c>
      <c r="N49" s="3">
        <f t="shared" si="6"/>
        <v>0.05614043799893077</v>
      </c>
      <c r="O49" s="32">
        <f>SUM(K49:L49)/SUM('County Totals'!$E48:$F48)</f>
        <v>0.024489795918367346</v>
      </c>
      <c r="P49">
        <f t="shared" si="7"/>
        <v>55</v>
      </c>
      <c r="Q49" s="1"/>
      <c r="R49" s="1"/>
      <c r="Y49" s="38"/>
      <c r="Z49" s="38"/>
      <c r="AA49" s="1"/>
      <c r="AB49" s="1"/>
      <c r="AC49" s="1"/>
      <c r="AD49" s="1"/>
    </row>
    <row r="50" spans="1:30" ht="15">
      <c r="A50" t="s">
        <v>46</v>
      </c>
      <c r="B50" s="2">
        <f>VLOOKUP($A50,'County Totals'!$A:$D,2,FALSE)</f>
        <v>270.915</v>
      </c>
      <c r="C50" s="2">
        <f>VLOOKUP($A50,'County Totals'!$A:$D,3,FALSE)</f>
        <v>2264</v>
      </c>
      <c r="D50" s="2">
        <f>VLOOKUP($A50,'County Totals'!$A:$D,4,FALSE)</f>
        <v>613309.2959999999</v>
      </c>
      <c r="E50" s="4">
        <v>8</v>
      </c>
      <c r="F50" s="4">
        <v>167</v>
      </c>
      <c r="G50" s="4">
        <v>434</v>
      </c>
      <c r="H50" s="3">
        <f t="shared" si="4"/>
        <v>0.3877459884092189</v>
      </c>
      <c r="I50" s="32">
        <f>SUM(E50:F50)/SUM('County Totals'!$E49:$F49)</f>
        <v>0.2547307132459971</v>
      </c>
      <c r="J50">
        <f t="shared" si="5"/>
        <v>13</v>
      </c>
      <c r="K50" s="1">
        <v>0</v>
      </c>
      <c r="L50" s="1">
        <v>6</v>
      </c>
      <c r="M50" s="1">
        <v>29</v>
      </c>
      <c r="N50" s="3">
        <f t="shared" si="6"/>
        <v>0.02590929415637638</v>
      </c>
      <c r="O50" s="32">
        <f>SUM(K50:L50)/SUM('County Totals'!$E49:$F49)</f>
        <v>0.008733624454148471</v>
      </c>
      <c r="P50">
        <f t="shared" si="7"/>
        <v>29</v>
      </c>
      <c r="Q50" s="1"/>
      <c r="R50" s="1"/>
      <c r="Y50" s="38"/>
      <c r="Z50" s="38"/>
      <c r="AA50" s="1"/>
      <c r="AB50" s="1"/>
      <c r="AC50" s="1"/>
      <c r="AD50" s="1"/>
    </row>
    <row r="51" spans="1:30" ht="15">
      <c r="A51" t="s">
        <v>47</v>
      </c>
      <c r="B51" s="2">
        <f>VLOOKUP($A51,'County Totals'!$A:$D,2,FALSE)</f>
        <v>284.63499999999965</v>
      </c>
      <c r="C51" s="2">
        <f>VLOOKUP($A51,'County Totals'!$A:$D,3,FALSE)</f>
        <v>2679</v>
      </c>
      <c r="D51" s="2">
        <f>VLOOKUP($A51,'County Totals'!$A:$D,4,FALSE)</f>
        <v>762562.3349999996</v>
      </c>
      <c r="E51" s="4">
        <v>2</v>
      </c>
      <c r="F51" s="4">
        <v>134</v>
      </c>
      <c r="G51" s="4">
        <v>384</v>
      </c>
      <c r="H51" s="3">
        <f t="shared" si="4"/>
        <v>0.27592624136636607</v>
      </c>
      <c r="I51" s="32">
        <f>SUM(E51:F51)/SUM('County Totals'!$E50:$F50)</f>
        <v>0.10862619808306709</v>
      </c>
      <c r="J51">
        <f t="shared" si="5"/>
        <v>2</v>
      </c>
      <c r="K51" s="1">
        <v>0</v>
      </c>
      <c r="L51" s="1">
        <v>4</v>
      </c>
      <c r="M51" s="1">
        <v>22</v>
      </c>
      <c r="N51" s="3">
        <f t="shared" si="6"/>
        <v>0.015808274244948056</v>
      </c>
      <c r="O51" s="32">
        <f>SUM(K51:L51)/SUM('County Totals'!$E50:$F50)</f>
        <v>0.003194888178913738</v>
      </c>
      <c r="P51">
        <f t="shared" si="7"/>
        <v>5</v>
      </c>
      <c r="Q51" s="1"/>
      <c r="R51" s="1"/>
      <c r="Y51" s="38"/>
      <c r="Z51" s="38"/>
      <c r="AA51" s="1"/>
      <c r="AB51" s="1"/>
      <c r="AC51" s="1"/>
      <c r="AD51" s="1"/>
    </row>
    <row r="52" spans="1:30" ht="15">
      <c r="A52" t="s">
        <v>48</v>
      </c>
      <c r="B52" s="2">
        <f>VLOOKUP($A52,'County Totals'!$A:$D,2,FALSE)</f>
        <v>340.8449999999998</v>
      </c>
      <c r="C52" s="2">
        <f>VLOOKUP($A52,'County Totals'!$A:$D,3,FALSE)</f>
        <v>532</v>
      </c>
      <c r="D52" s="2">
        <f>VLOOKUP($A52,'County Totals'!$A:$D,4,FALSE)</f>
        <v>181232.68699999995</v>
      </c>
      <c r="E52" s="4">
        <v>3</v>
      </c>
      <c r="F52" s="4">
        <v>98</v>
      </c>
      <c r="G52" s="4">
        <v>238</v>
      </c>
      <c r="H52" s="3">
        <f t="shared" si="4"/>
        <v>0.7195774728214984</v>
      </c>
      <c r="I52" s="32">
        <f>SUM(E52:F52)/SUM('County Totals'!$E51:$F51)</f>
        <v>0.3754646840148699</v>
      </c>
      <c r="J52">
        <f t="shared" si="5"/>
        <v>53</v>
      </c>
      <c r="K52" s="1">
        <v>0</v>
      </c>
      <c r="L52" s="1">
        <v>9</v>
      </c>
      <c r="M52" s="1">
        <v>27</v>
      </c>
      <c r="N52" s="3">
        <f t="shared" si="6"/>
        <v>0.08163273851336326</v>
      </c>
      <c r="O52" s="32">
        <f>SUM(K52:L52)/SUM('County Totals'!$E51:$F51)</f>
        <v>0.03345724907063197</v>
      </c>
      <c r="P52">
        <f t="shared" si="7"/>
        <v>69</v>
      </c>
      <c r="Q52" s="1"/>
      <c r="R52" s="1"/>
      <c r="Y52" s="38"/>
      <c r="Z52" s="38"/>
      <c r="AA52" s="1"/>
      <c r="AB52" s="1"/>
      <c r="AC52" s="1"/>
      <c r="AD52" s="1"/>
    </row>
    <row r="53" spans="1:30" ht="15">
      <c r="A53" t="s">
        <v>49</v>
      </c>
      <c r="B53" s="2">
        <f>VLOOKUP($A53,'County Totals'!$A:$D,2,FALSE)</f>
        <v>492.018</v>
      </c>
      <c r="C53" s="2">
        <f>VLOOKUP($A53,'County Totals'!$A:$D,3,FALSE)</f>
        <v>2586</v>
      </c>
      <c r="D53" s="2">
        <f>VLOOKUP($A53,'County Totals'!$A:$D,4,FALSE)</f>
        <v>1272505.1010000007</v>
      </c>
      <c r="E53" s="4">
        <v>4</v>
      </c>
      <c r="F53" s="4">
        <v>248</v>
      </c>
      <c r="G53" s="4">
        <v>861</v>
      </c>
      <c r="H53" s="3">
        <f t="shared" si="4"/>
        <v>0.3707496508635276</v>
      </c>
      <c r="I53" s="32">
        <f>SUM(E53:F53)/SUM('County Totals'!$E52:$F52)</f>
        <v>0.18194945848375452</v>
      </c>
      <c r="J53">
        <f t="shared" si="5"/>
        <v>11</v>
      </c>
      <c r="K53" s="1">
        <v>0</v>
      </c>
      <c r="L53" s="1">
        <v>15</v>
      </c>
      <c r="M53" s="1">
        <v>53</v>
      </c>
      <c r="N53" s="3">
        <f t="shared" si="6"/>
        <v>0.02282198779996163</v>
      </c>
      <c r="O53" s="32">
        <f>SUM(K53:L53)/SUM('County Totals'!$E52:$F52)</f>
        <v>0.010830324909747292</v>
      </c>
      <c r="P53">
        <f t="shared" si="7"/>
        <v>20</v>
      </c>
      <c r="Q53" s="1"/>
      <c r="R53" s="1"/>
      <c r="Y53" s="38"/>
      <c r="Z53" s="38"/>
      <c r="AA53" s="1"/>
      <c r="AB53" s="1"/>
      <c r="AC53" s="1"/>
      <c r="AD53" s="1"/>
    </row>
    <row r="54" spans="1:30" ht="15">
      <c r="A54" t="s">
        <v>50</v>
      </c>
      <c r="B54" s="2">
        <f>VLOOKUP($A54,'County Totals'!$A:$D,2,FALSE)</f>
        <v>382.9020000000002</v>
      </c>
      <c r="C54" s="2">
        <f>VLOOKUP($A54,'County Totals'!$A:$D,3,FALSE)</f>
        <v>722</v>
      </c>
      <c r="D54" s="2">
        <f>VLOOKUP($A54,'County Totals'!$A:$D,4,FALSE)</f>
        <v>276461.727</v>
      </c>
      <c r="E54" s="4">
        <v>5</v>
      </c>
      <c r="F54" s="4">
        <v>81</v>
      </c>
      <c r="G54" s="4">
        <v>274</v>
      </c>
      <c r="H54" s="3">
        <f t="shared" si="4"/>
        <v>0.5430660798171526</v>
      </c>
      <c r="I54" s="32">
        <f>SUM(E54:F54)/SUM('County Totals'!$E53:$F53)</f>
        <v>0.3104693140794224</v>
      </c>
      <c r="J54">
        <f t="shared" si="5"/>
        <v>33</v>
      </c>
      <c r="K54" s="1">
        <v>0</v>
      </c>
      <c r="L54" s="1">
        <v>6</v>
      </c>
      <c r="M54" s="1">
        <v>15</v>
      </c>
      <c r="N54" s="3">
        <f t="shared" si="6"/>
        <v>0.029729894880501054</v>
      </c>
      <c r="O54" s="32">
        <f>SUM(K54:L54)/SUM('County Totals'!$E53:$F53)</f>
        <v>0.021660649819494584</v>
      </c>
      <c r="P54">
        <f t="shared" si="7"/>
        <v>35</v>
      </c>
      <c r="Q54" s="1"/>
      <c r="R54" s="1"/>
      <c r="Y54" s="38"/>
      <c r="Z54" s="38"/>
      <c r="AA54" s="1"/>
      <c r="AB54" s="1"/>
      <c r="AC54" s="1"/>
      <c r="AD54" s="1"/>
    </row>
    <row r="55" spans="1:30" ht="15">
      <c r="A55" t="s">
        <v>51</v>
      </c>
      <c r="B55" s="2">
        <f>VLOOKUP($A55,'County Totals'!$A:$D,2,FALSE)</f>
        <v>326.8430000000003</v>
      </c>
      <c r="C55" s="2">
        <f>VLOOKUP($A55,'County Totals'!$A:$D,3,FALSE)</f>
        <v>1842</v>
      </c>
      <c r="D55" s="2">
        <f>VLOOKUP($A55,'County Totals'!$A:$D,4,FALSE)</f>
        <v>602175.0560000002</v>
      </c>
      <c r="E55" s="4">
        <v>6</v>
      </c>
      <c r="F55" s="4">
        <v>199</v>
      </c>
      <c r="G55" s="4">
        <v>573</v>
      </c>
      <c r="H55" s="3">
        <f t="shared" si="4"/>
        <v>0.5213975564270565</v>
      </c>
      <c r="I55" s="32">
        <f>SUM(E55:F55)/SUM('County Totals'!$E54:$F54)</f>
        <v>0.292022792022792</v>
      </c>
      <c r="J55">
        <f t="shared" si="5"/>
        <v>29</v>
      </c>
      <c r="K55" s="1">
        <v>0</v>
      </c>
      <c r="L55" s="1">
        <v>4</v>
      </c>
      <c r="M55" s="1">
        <v>20</v>
      </c>
      <c r="N55" s="3">
        <f t="shared" si="6"/>
        <v>0.018198867589077017</v>
      </c>
      <c r="O55" s="32">
        <f>SUM(K55:L55)/SUM('County Totals'!$E54:$F54)</f>
        <v>0.005698005698005698</v>
      </c>
      <c r="P55">
        <f t="shared" si="7"/>
        <v>11</v>
      </c>
      <c r="Q55" s="1"/>
      <c r="R55" s="1"/>
      <c r="Y55" s="38"/>
      <c r="Z55" s="38"/>
      <c r="AA55" s="1"/>
      <c r="AB55" s="1"/>
      <c r="AC55" s="1"/>
      <c r="AD55" s="1"/>
    </row>
    <row r="56" spans="1:30" ht="15">
      <c r="A56" t="s">
        <v>52</v>
      </c>
      <c r="B56" s="2">
        <f>VLOOKUP($A56,'County Totals'!$A:$D,2,FALSE)</f>
        <v>259.859</v>
      </c>
      <c r="C56" s="2">
        <f>VLOOKUP($A56,'County Totals'!$A:$D,3,FALSE)</f>
        <v>424</v>
      </c>
      <c r="D56" s="2">
        <f>VLOOKUP($A56,'County Totals'!$A:$D,4,FALSE)</f>
        <v>110273.73200000002</v>
      </c>
      <c r="E56" s="4">
        <v>5</v>
      </c>
      <c r="F56" s="4">
        <v>68</v>
      </c>
      <c r="G56" s="4">
        <v>154</v>
      </c>
      <c r="H56" s="3">
        <f t="shared" si="4"/>
        <v>0.7652190609077745</v>
      </c>
      <c r="I56" s="32">
        <f>SUM(E56:F56)/SUM('County Totals'!$E55:$F55)</f>
        <v>0.503448275862069</v>
      </c>
      <c r="J56">
        <f t="shared" si="5"/>
        <v>58</v>
      </c>
      <c r="K56" s="1">
        <v>0</v>
      </c>
      <c r="L56" s="1">
        <v>2</v>
      </c>
      <c r="M56" s="1">
        <v>7</v>
      </c>
      <c r="N56" s="3">
        <f t="shared" si="6"/>
        <v>0.03478268458671702</v>
      </c>
      <c r="O56" s="32">
        <f>SUM(K56:L56)/SUM('County Totals'!$E55:$F55)</f>
        <v>0.013793103448275862</v>
      </c>
      <c r="P56">
        <f t="shared" si="7"/>
        <v>39</v>
      </c>
      <c r="Q56" s="1"/>
      <c r="R56" s="1"/>
      <c r="Y56" s="38"/>
      <c r="Z56" s="38"/>
      <c r="AA56" s="1"/>
      <c r="AB56" s="1"/>
      <c r="AC56" s="1"/>
      <c r="AD56" s="1"/>
    </row>
    <row r="57" spans="1:30" ht="15">
      <c r="A57" t="s">
        <v>53</v>
      </c>
      <c r="B57" s="2">
        <f>VLOOKUP($A57,'County Totals'!$A:$D,2,FALSE)</f>
        <v>394.0519999999995</v>
      </c>
      <c r="C57" s="2">
        <f>VLOOKUP($A57,'County Totals'!$A:$D,3,FALSE)</f>
        <v>456</v>
      </c>
      <c r="D57" s="2">
        <f>VLOOKUP($A57,'County Totals'!$A:$D,4,FALSE)</f>
        <v>179669.62799999982</v>
      </c>
      <c r="E57" s="4">
        <v>2</v>
      </c>
      <c r="F57" s="4">
        <v>44</v>
      </c>
      <c r="G57" s="4">
        <v>143</v>
      </c>
      <c r="H57" s="3">
        <f t="shared" si="4"/>
        <v>0.43611246517169683</v>
      </c>
      <c r="I57" s="32">
        <f>SUM(E57:F57)/SUM('County Totals'!$E56:$F56)</f>
        <v>0.304635761589404</v>
      </c>
      <c r="J57">
        <f t="shared" si="5"/>
        <v>18</v>
      </c>
      <c r="K57" s="1">
        <v>0</v>
      </c>
      <c r="L57" s="1">
        <v>3</v>
      </c>
      <c r="M57" s="1">
        <v>7</v>
      </c>
      <c r="N57" s="3">
        <f t="shared" si="6"/>
        <v>0.02134816263078236</v>
      </c>
      <c r="O57" s="32">
        <f>SUM(K57:L57)/SUM('County Totals'!$E56:$F56)</f>
        <v>0.019867549668874173</v>
      </c>
      <c r="P57">
        <f t="shared" si="7"/>
        <v>14</v>
      </c>
      <c r="Q57" s="1"/>
      <c r="R57" s="1"/>
      <c r="Y57" s="38"/>
      <c r="Z57" s="38"/>
      <c r="AA57" s="1"/>
      <c r="AB57" s="1"/>
      <c r="AC57" s="1"/>
      <c r="AD57" s="1"/>
    </row>
    <row r="58" spans="1:30" ht="15">
      <c r="A58" t="s">
        <v>54</v>
      </c>
      <c r="B58" s="2">
        <f>VLOOKUP($A58,'County Totals'!$A:$D,2,FALSE)</f>
        <v>423.8410000000001</v>
      </c>
      <c r="C58" s="2">
        <f>VLOOKUP($A58,'County Totals'!$A:$D,3,FALSE)</f>
        <v>1168</v>
      </c>
      <c r="D58" s="2">
        <f>VLOOKUP($A58,'County Totals'!$A:$D,4,FALSE)</f>
        <v>494925.85700000025</v>
      </c>
      <c r="E58" s="4">
        <v>4</v>
      </c>
      <c r="F58" s="4">
        <v>141</v>
      </c>
      <c r="G58" s="4">
        <v>521</v>
      </c>
      <c r="H58" s="3">
        <f t="shared" si="4"/>
        <v>0.5768125629669707</v>
      </c>
      <c r="I58" s="32">
        <f>SUM(E58:F58)/SUM('County Totals'!$E57:$F57)</f>
        <v>0.36895674300254455</v>
      </c>
      <c r="J58">
        <f t="shared" si="5"/>
        <v>34</v>
      </c>
      <c r="K58" s="1">
        <v>1</v>
      </c>
      <c r="L58" s="1">
        <v>2</v>
      </c>
      <c r="M58" s="1">
        <v>23</v>
      </c>
      <c r="N58" s="3">
        <f t="shared" si="6"/>
        <v>0.025463894334434405</v>
      </c>
      <c r="O58" s="32">
        <f>SUM(K58:L58)/SUM('County Totals'!$E57:$F57)</f>
        <v>0.007633587786259542</v>
      </c>
      <c r="P58">
        <f t="shared" si="7"/>
        <v>27</v>
      </c>
      <c r="Q58" s="1"/>
      <c r="R58" s="1"/>
      <c r="Y58" s="38"/>
      <c r="Z58" s="38"/>
      <c r="AA58" s="1"/>
      <c r="AB58" s="1"/>
      <c r="AC58" s="1"/>
      <c r="AD58" s="1"/>
    </row>
    <row r="59" spans="1:30" ht="15">
      <c r="A59" t="s">
        <v>55</v>
      </c>
      <c r="B59" s="2">
        <f>VLOOKUP($A59,'County Totals'!$A:$D,2,FALSE)</f>
        <v>371.3799999999997</v>
      </c>
      <c r="C59" s="2">
        <f>VLOOKUP($A59,'County Totals'!$A:$D,3,FALSE)</f>
        <v>273</v>
      </c>
      <c r="D59" s="2">
        <f>VLOOKUP($A59,'County Totals'!$A:$D,4,FALSE)</f>
        <v>101391.44000000005</v>
      </c>
      <c r="E59" s="4">
        <v>1</v>
      </c>
      <c r="F59" s="4">
        <v>36</v>
      </c>
      <c r="G59" s="4">
        <v>140</v>
      </c>
      <c r="H59" s="3">
        <f t="shared" si="4"/>
        <v>0.7565957122921152</v>
      </c>
      <c r="I59" s="32">
        <f>SUM(E59:F59)/SUM('County Totals'!$E58:$F58)</f>
        <v>0.6271186440677966</v>
      </c>
      <c r="J59">
        <f t="shared" si="5"/>
        <v>56</v>
      </c>
      <c r="K59" s="1">
        <v>0</v>
      </c>
      <c r="L59" s="1">
        <v>1</v>
      </c>
      <c r="M59" s="1">
        <v>7</v>
      </c>
      <c r="N59" s="3">
        <f t="shared" si="6"/>
        <v>0.03782978561460576</v>
      </c>
      <c r="O59" s="32">
        <f>SUM(K59:L59)/SUM('County Totals'!$E58:$F58)</f>
        <v>0.01694915254237288</v>
      </c>
      <c r="P59">
        <f t="shared" si="7"/>
        <v>40</v>
      </c>
      <c r="Q59" s="1"/>
      <c r="R59" s="1"/>
      <c r="Y59" s="38"/>
      <c r="Z59" s="38"/>
      <c r="AA59" s="1"/>
      <c r="AB59" s="1"/>
      <c r="AC59" s="1"/>
      <c r="AD59" s="1"/>
    </row>
    <row r="60" spans="1:30" ht="15">
      <c r="A60" t="s">
        <v>56</v>
      </c>
      <c r="B60" s="2">
        <f>VLOOKUP($A60,'County Totals'!$A:$D,2,FALSE)</f>
        <v>320.80200000000013</v>
      </c>
      <c r="C60" s="2">
        <f>VLOOKUP($A60,'County Totals'!$A:$D,3,FALSE)</f>
        <v>3035</v>
      </c>
      <c r="D60" s="2">
        <f>VLOOKUP($A60,'County Totals'!$A:$D,4,FALSE)</f>
        <v>973713.8790000004</v>
      </c>
      <c r="E60" s="4">
        <v>12</v>
      </c>
      <c r="F60" s="4">
        <v>292</v>
      </c>
      <c r="G60" s="4">
        <v>775</v>
      </c>
      <c r="H60" s="3">
        <f t="shared" si="4"/>
        <v>0.4361214761390652</v>
      </c>
      <c r="I60" s="32">
        <f>SUM(E60:F60)/SUM('County Totals'!$E59:$F59)</f>
        <v>0.17391304347826086</v>
      </c>
      <c r="J60">
        <f t="shared" si="5"/>
        <v>19</v>
      </c>
      <c r="K60" s="1">
        <v>0</v>
      </c>
      <c r="L60" s="1">
        <v>12</v>
      </c>
      <c r="M60" s="1">
        <v>44</v>
      </c>
      <c r="N60" s="3">
        <f t="shared" si="6"/>
        <v>0.024760445096927573</v>
      </c>
      <c r="O60" s="32">
        <f>SUM(K60:L60)/SUM('County Totals'!$E59:$F59)</f>
        <v>0.006864988558352402</v>
      </c>
      <c r="P60">
        <f t="shared" si="7"/>
        <v>23</v>
      </c>
      <c r="Q60" s="1"/>
      <c r="R60" s="1"/>
      <c r="Y60" s="38"/>
      <c r="Z60" s="38"/>
      <c r="AA60" s="1"/>
      <c r="AB60" s="1"/>
      <c r="AC60" s="1"/>
      <c r="AD60" s="1"/>
    </row>
    <row r="61" spans="1:30" ht="15">
      <c r="A61" t="s">
        <v>57</v>
      </c>
      <c r="B61" s="2">
        <f>VLOOKUP($A61,'County Totals'!$A:$D,2,FALSE)</f>
        <v>343.43299999999994</v>
      </c>
      <c r="C61" s="2">
        <f>VLOOKUP($A61,'County Totals'!$A:$D,3,FALSE)</f>
        <v>299</v>
      </c>
      <c r="D61" s="2">
        <f>VLOOKUP($A61,'County Totals'!$A:$D,4,FALSE)</f>
        <v>102519.74400000006</v>
      </c>
      <c r="E61" s="4">
        <v>1</v>
      </c>
      <c r="F61" s="4">
        <v>19</v>
      </c>
      <c r="G61" s="4">
        <v>72</v>
      </c>
      <c r="H61" s="3">
        <f t="shared" si="4"/>
        <v>0.3848239690739037</v>
      </c>
      <c r="I61" s="32">
        <f>SUM(E61:F61)/SUM('County Totals'!$E60:$F60)</f>
        <v>0.4444444444444444</v>
      </c>
      <c r="J61">
        <f t="shared" si="5"/>
        <v>12</v>
      </c>
      <c r="K61" s="1">
        <v>0</v>
      </c>
      <c r="L61" s="1">
        <v>1</v>
      </c>
      <c r="M61" s="1">
        <v>4</v>
      </c>
      <c r="N61" s="3">
        <f t="shared" si="6"/>
        <v>0.02137910939299465</v>
      </c>
      <c r="O61" s="32">
        <f>SUM(K61:L61)/SUM('County Totals'!$E60:$F60)</f>
        <v>0.022222222222222223</v>
      </c>
      <c r="P61">
        <f t="shared" si="7"/>
        <v>15</v>
      </c>
      <c r="Q61" s="1"/>
      <c r="R61" s="1"/>
      <c r="Y61" s="38"/>
      <c r="Z61" s="38"/>
      <c r="AA61" s="1"/>
      <c r="AB61" s="1"/>
      <c r="AC61" s="1"/>
      <c r="AD61" s="1"/>
    </row>
    <row r="62" spans="1:30" ht="15">
      <c r="A62" t="s">
        <v>58</v>
      </c>
      <c r="B62" s="2">
        <f>VLOOKUP($A62,'County Totals'!$A:$D,2,FALSE)</f>
        <v>378.2799999999993</v>
      </c>
      <c r="C62" s="2">
        <f>VLOOKUP($A62,'County Totals'!$A:$D,3,FALSE)</f>
        <v>461</v>
      </c>
      <c r="D62" s="2">
        <f>VLOOKUP($A62,'County Totals'!$A:$D,4,FALSE)</f>
        <v>174200.20100000018</v>
      </c>
      <c r="E62" s="4">
        <v>2</v>
      </c>
      <c r="F62" s="4">
        <v>82</v>
      </c>
      <c r="G62" s="4">
        <v>245</v>
      </c>
      <c r="H62" s="3">
        <f t="shared" si="4"/>
        <v>0.770645352713833</v>
      </c>
      <c r="I62" s="32">
        <f>SUM(E62:F62)/SUM('County Totals'!$E61:$F61)</f>
        <v>0.4019138755980861</v>
      </c>
      <c r="J62">
        <f t="shared" si="5"/>
        <v>59</v>
      </c>
      <c r="K62" s="1">
        <v>0</v>
      </c>
      <c r="L62" s="1">
        <v>4</v>
      </c>
      <c r="M62" s="1">
        <v>14</v>
      </c>
      <c r="N62" s="3">
        <f t="shared" si="6"/>
        <v>0.04403687729793331</v>
      </c>
      <c r="O62" s="32">
        <f>SUM(K62:L62)/SUM('County Totals'!$E61:$F61)</f>
        <v>0.019138755980861243</v>
      </c>
      <c r="P62">
        <f t="shared" si="7"/>
        <v>46</v>
      </c>
      <c r="Q62" s="1"/>
      <c r="R62" s="1"/>
      <c r="Y62" s="38"/>
      <c r="Z62" s="38"/>
      <c r="AA62" s="1"/>
      <c r="AB62" s="1"/>
      <c r="AC62" s="1"/>
      <c r="AD62" s="1"/>
    </row>
    <row r="63" spans="1:30" ht="15">
      <c r="A63" t="s">
        <v>59</v>
      </c>
      <c r="B63" s="2">
        <f>VLOOKUP($A63,'County Totals'!$A:$D,2,FALSE)</f>
        <v>528.2629999999999</v>
      </c>
      <c r="C63" s="2">
        <f>VLOOKUP($A63,'County Totals'!$A:$D,3,FALSE)</f>
        <v>556</v>
      </c>
      <c r="D63" s="2">
        <f>VLOOKUP($A63,'County Totals'!$A:$D,4,FALSE)</f>
        <v>293973.85599999985</v>
      </c>
      <c r="E63" s="4">
        <v>2</v>
      </c>
      <c r="F63" s="4">
        <v>323</v>
      </c>
      <c r="G63" s="4">
        <v>894</v>
      </c>
      <c r="H63" s="3">
        <f t="shared" si="4"/>
        <v>1.6663489072260573</v>
      </c>
      <c r="I63" s="32">
        <f>SUM(E63:F63)/SUM('County Totals'!$E62:$F62)</f>
        <v>0.6190476190476191</v>
      </c>
      <c r="J63">
        <f t="shared" si="5"/>
        <v>86</v>
      </c>
      <c r="K63" s="1">
        <v>0</v>
      </c>
      <c r="L63" s="1">
        <v>18</v>
      </c>
      <c r="M63" s="1">
        <v>53</v>
      </c>
      <c r="N63" s="3">
        <f t="shared" si="6"/>
        <v>0.09878802246418461</v>
      </c>
      <c r="O63" s="32">
        <f>SUM(K63:L63)/SUM('County Totals'!$E62:$F62)</f>
        <v>0.03428571428571429</v>
      </c>
      <c r="P63">
        <f t="shared" si="7"/>
        <v>76</v>
      </c>
      <c r="Q63" s="1"/>
      <c r="R63" s="1"/>
      <c r="Y63" s="38"/>
      <c r="Z63" s="38"/>
      <c r="AA63" s="1"/>
      <c r="AB63" s="1"/>
      <c r="AC63" s="1"/>
      <c r="AD63" s="1"/>
    </row>
    <row r="64" spans="1:30" ht="15">
      <c r="A64" t="s">
        <v>60</v>
      </c>
      <c r="B64" s="2">
        <f>VLOOKUP($A64,'County Totals'!$A:$D,2,FALSE)</f>
        <v>270.32</v>
      </c>
      <c r="C64" s="2">
        <f>VLOOKUP($A64,'County Totals'!$A:$D,3,FALSE)</f>
        <v>280</v>
      </c>
      <c r="D64" s="2">
        <f>VLOOKUP($A64,'County Totals'!$A:$D,4,FALSE)</f>
        <v>75571.63499999995</v>
      </c>
      <c r="E64" s="4">
        <v>0</v>
      </c>
      <c r="F64" s="4">
        <v>15</v>
      </c>
      <c r="G64" s="4">
        <v>42</v>
      </c>
      <c r="H64" s="3">
        <f t="shared" si="4"/>
        <v>0.304528261564501</v>
      </c>
      <c r="I64" s="32">
        <f>SUM(E65:F65)/SUM('County Totals'!$E63:$F63)</f>
        <v>3.95</v>
      </c>
      <c r="J64">
        <f t="shared" si="5"/>
        <v>4</v>
      </c>
      <c r="K64" s="1">
        <v>0</v>
      </c>
      <c r="L64" s="1">
        <v>0</v>
      </c>
      <c r="M64" s="1">
        <v>3</v>
      </c>
      <c r="N64" s="3">
        <f t="shared" si="6"/>
        <v>0.021752018683178647</v>
      </c>
      <c r="O64" s="32">
        <f>SUM(K64:L64)/SUM('County Totals'!$E63:$F63)</f>
        <v>0</v>
      </c>
      <c r="P64">
        <f t="shared" si="7"/>
        <v>16</v>
      </c>
      <c r="Q64" s="1"/>
      <c r="R64" s="1"/>
      <c r="Y64" s="38"/>
      <c r="Z64" s="38"/>
      <c r="AA64" s="1"/>
      <c r="AB64" s="1"/>
      <c r="AC64" s="1"/>
      <c r="AD64" s="1"/>
    </row>
    <row r="65" spans="1:30" ht="15">
      <c r="A65" t="s">
        <v>61</v>
      </c>
      <c r="B65" s="2">
        <f>VLOOKUP($A65,'County Totals'!$A:$D,2,FALSE)</f>
        <v>163.01399999999992</v>
      </c>
      <c r="C65" s="2">
        <f>VLOOKUP($A65,'County Totals'!$A:$D,3,FALSE)</f>
        <v>818</v>
      </c>
      <c r="D65" s="2">
        <f>VLOOKUP($A65,'County Totals'!$A:$D,4,FALSE)</f>
        <v>133401.51299999992</v>
      </c>
      <c r="E65" s="4">
        <v>3</v>
      </c>
      <c r="F65" s="4">
        <v>76</v>
      </c>
      <c r="G65" s="4">
        <v>202</v>
      </c>
      <c r="H65" s="3">
        <f t="shared" si="4"/>
        <v>0.8297127147789499</v>
      </c>
      <c r="I65" s="32">
        <f>SUM(E66:F66)/SUM('County Totals'!$E64:$F64)</f>
        <v>0.27225130890052357</v>
      </c>
      <c r="J65">
        <f t="shared" si="5"/>
        <v>63</v>
      </c>
      <c r="K65" s="1">
        <v>0</v>
      </c>
      <c r="L65" s="1">
        <v>3</v>
      </c>
      <c r="M65" s="1">
        <v>14</v>
      </c>
      <c r="N65" s="3">
        <f t="shared" si="6"/>
        <v>0.057504841618343065</v>
      </c>
      <c r="O65" s="32">
        <f>SUM(K65:L65)/SUM('County Totals'!$E64:$F64)</f>
        <v>0.015706806282722512</v>
      </c>
      <c r="P65">
        <f t="shared" si="7"/>
        <v>57</v>
      </c>
      <c r="Q65" s="1"/>
      <c r="R65" s="1"/>
      <c r="Y65" s="38"/>
      <c r="Z65" s="38"/>
      <c r="AA65" s="1"/>
      <c r="AB65" s="1"/>
      <c r="AC65" s="1"/>
      <c r="AD65" s="1"/>
    </row>
    <row r="66" spans="1:30" ht="15">
      <c r="A66" t="s">
        <v>62</v>
      </c>
      <c r="B66" s="2">
        <f>VLOOKUP($A66,'County Totals'!$A:$D,2,FALSE)</f>
        <v>331.522</v>
      </c>
      <c r="C66" s="2">
        <f>VLOOKUP($A66,'County Totals'!$A:$D,3,FALSE)</f>
        <v>410</v>
      </c>
      <c r="D66" s="2">
        <f>VLOOKUP($A66,'County Totals'!$A:$D,4,FALSE)</f>
        <v>136048.85299999997</v>
      </c>
      <c r="E66" s="4">
        <v>1</v>
      </c>
      <c r="F66" s="4">
        <v>51</v>
      </c>
      <c r="G66" s="4">
        <v>146</v>
      </c>
      <c r="H66" s="3">
        <f t="shared" si="4"/>
        <v>0.5880240680897179</v>
      </c>
      <c r="I66" s="32">
        <f>SUM(E67:F67)/SUM('County Totals'!$E65:$F65)</f>
        <v>1.702970297029703</v>
      </c>
      <c r="J66">
        <f t="shared" si="5"/>
        <v>37</v>
      </c>
      <c r="K66" s="1">
        <v>0</v>
      </c>
      <c r="L66" s="1">
        <v>3</v>
      </c>
      <c r="M66" s="1">
        <v>10</v>
      </c>
      <c r="N66" s="3">
        <f t="shared" si="6"/>
        <v>0.040275621102035475</v>
      </c>
      <c r="O66" s="32">
        <f>SUM(K66:L66)/SUM('County Totals'!$E65:$F65)</f>
        <v>0.0297029702970297</v>
      </c>
      <c r="P66">
        <f t="shared" si="7"/>
        <v>45</v>
      </c>
      <c r="Q66" s="1"/>
      <c r="R66" s="1"/>
      <c r="Y66" s="38"/>
      <c r="Z66" s="38"/>
      <c r="AA66" s="1"/>
      <c r="AB66" s="1"/>
      <c r="AC66" s="1"/>
      <c r="AD66" s="1"/>
    </row>
    <row r="67" spans="1:30" ht="15">
      <c r="A67" t="s">
        <v>63</v>
      </c>
      <c r="B67" s="2">
        <f>VLOOKUP($A67,'County Totals'!$A:$D,2,FALSE)</f>
        <v>325.76700000000005</v>
      </c>
      <c r="C67" s="2">
        <f>VLOOKUP($A67,'County Totals'!$A:$D,3,FALSE)</f>
        <v>397</v>
      </c>
      <c r="D67" s="2">
        <f>VLOOKUP($A67,'County Totals'!$A:$D,4,FALSE)</f>
        <v>129480.42100000007</v>
      </c>
      <c r="E67" s="4">
        <v>1</v>
      </c>
      <c r="F67" s="4">
        <v>171</v>
      </c>
      <c r="G67" s="4">
        <v>404</v>
      </c>
      <c r="H67" s="3">
        <f t="shared" si="4"/>
        <v>1.7096782764839673</v>
      </c>
      <c r="I67" s="32">
        <f>SUM(E68:F68)/SUM('County Totals'!$E66:$F66)</f>
        <v>0.5223880597014925</v>
      </c>
      <c r="J67">
        <f t="shared" si="5"/>
        <v>88</v>
      </c>
      <c r="K67" s="1">
        <v>1</v>
      </c>
      <c r="L67" s="1">
        <v>10</v>
      </c>
      <c r="M67" s="1">
        <v>21</v>
      </c>
      <c r="N67" s="3">
        <f t="shared" si="6"/>
        <v>0.08886941536179037</v>
      </c>
      <c r="O67" s="32">
        <f>SUM(K67:L67)/SUM('County Totals'!$E66:$F66)</f>
        <v>0.041044776119402986</v>
      </c>
      <c r="P67">
        <f t="shared" si="7"/>
        <v>73</v>
      </c>
      <c r="Q67" s="1"/>
      <c r="R67" s="1"/>
      <c r="Y67" s="38"/>
      <c r="Z67" s="38"/>
      <c r="AA67" s="1"/>
      <c r="AB67" s="1"/>
      <c r="AC67" s="1"/>
      <c r="AD67" s="1"/>
    </row>
    <row r="68" spans="1:30" ht="15">
      <c r="A68" t="s">
        <v>64</v>
      </c>
      <c r="B68" s="2">
        <f>VLOOKUP($A68,'County Totals'!$A:$D,2,FALSE)</f>
        <v>232.25199999999992</v>
      </c>
      <c r="C68" s="2">
        <f>VLOOKUP($A68,'County Totals'!$A:$D,3,FALSE)</f>
        <v>954</v>
      </c>
      <c r="D68" s="2">
        <f>VLOOKUP($A68,'County Totals'!$A:$D,4,FALSE)</f>
        <v>221572.382</v>
      </c>
      <c r="E68" s="4">
        <v>8</v>
      </c>
      <c r="F68" s="4">
        <v>132</v>
      </c>
      <c r="G68" s="4">
        <v>369</v>
      </c>
      <c r="H68" s="3">
        <f aca="true" t="shared" si="8" ref="H68:H91">G68*1000000/(5*365*$B68*$D68/$B68)</f>
        <v>0.9125315122618387</v>
      </c>
      <c r="I68" s="32">
        <f>SUM(E69:F69)/SUM('County Totals'!$E67:$F67)</f>
        <v>0.5331125827814569</v>
      </c>
      <c r="J68">
        <f aca="true" t="shared" si="9" ref="J68:J91">_xlfn.RANK.AVG(H68,H$1:H$65536,1)</f>
        <v>66</v>
      </c>
      <c r="K68" s="1">
        <v>1</v>
      </c>
      <c r="L68" s="1">
        <v>8</v>
      </c>
      <c r="M68" s="1">
        <v>21</v>
      </c>
      <c r="N68" s="3">
        <f aca="true" t="shared" si="10" ref="N68:N91">M68*1000000/(5*365*$B68*$D68/$B68)</f>
        <v>0.05193268768969814</v>
      </c>
      <c r="O68" s="32">
        <f>SUM(K68:L68)/SUM('County Totals'!$E67:$F67)</f>
        <v>0.029801324503311258</v>
      </c>
      <c r="P68">
        <f aca="true" t="shared" si="11" ref="P68:P91">_xlfn.RANK.AVG(N68,N$1:N$65536,1)</f>
        <v>52</v>
      </c>
      <c r="Q68" s="1"/>
      <c r="R68" s="1"/>
      <c r="Y68" s="38"/>
      <c r="Z68" s="38"/>
      <c r="AA68" s="1"/>
      <c r="AB68" s="1"/>
      <c r="AC68" s="1"/>
      <c r="AD68" s="1"/>
    </row>
    <row r="69" spans="1:30" ht="15">
      <c r="A69" t="s">
        <v>65</v>
      </c>
      <c r="B69" s="2">
        <f>VLOOKUP($A69,'County Totals'!$A:$D,2,FALSE)</f>
        <v>329.07100000000014</v>
      </c>
      <c r="C69" s="2">
        <f>VLOOKUP($A69,'County Totals'!$A:$D,3,FALSE)</f>
        <v>422</v>
      </c>
      <c r="D69" s="2">
        <f>VLOOKUP($A69,'County Totals'!$A:$D,4,FALSE)</f>
        <v>138883.2069999999</v>
      </c>
      <c r="E69" s="4">
        <v>5</v>
      </c>
      <c r="F69" s="4">
        <v>156</v>
      </c>
      <c r="G69" s="4">
        <v>430</v>
      </c>
      <c r="H69" s="3">
        <f t="shared" si="8"/>
        <v>1.6965077596182272</v>
      </c>
      <c r="I69" s="32">
        <f>SUM(E70:F70)/SUM('County Totals'!$E68:$F68)</f>
        <v>1.0725190839694656</v>
      </c>
      <c r="J69">
        <f t="shared" si="9"/>
        <v>87</v>
      </c>
      <c r="K69" s="1">
        <v>0</v>
      </c>
      <c r="L69" s="1">
        <v>22</v>
      </c>
      <c r="M69" s="1">
        <v>47</v>
      </c>
      <c r="N69" s="3">
        <f t="shared" si="10"/>
        <v>0.18543224349315507</v>
      </c>
      <c r="O69" s="32">
        <f>SUM(K69:L69)/SUM('County Totals'!$E68:$F68)</f>
        <v>0.08396946564885496</v>
      </c>
      <c r="P69">
        <f t="shared" si="11"/>
        <v>86</v>
      </c>
      <c r="Q69" s="1"/>
      <c r="R69" s="1"/>
      <c r="Y69" s="38"/>
      <c r="Z69" s="38"/>
      <c r="AA69" s="1"/>
      <c r="AB69" s="1"/>
      <c r="AC69" s="1"/>
      <c r="AD69" s="1"/>
    </row>
    <row r="70" spans="1:30" ht="15">
      <c r="A70" t="s">
        <v>66</v>
      </c>
      <c r="B70" s="2">
        <f>VLOOKUP($A70,'County Totals'!$A:$D,2,FALSE)</f>
        <v>369.7760000000001</v>
      </c>
      <c r="C70" s="2">
        <f>VLOOKUP($A70,'County Totals'!$A:$D,3,FALSE)</f>
        <v>1481</v>
      </c>
      <c r="D70" s="2">
        <f>VLOOKUP($A70,'County Totals'!$A:$D,4,FALSE)</f>
        <v>547701.4870000003</v>
      </c>
      <c r="E70" s="4">
        <v>2</v>
      </c>
      <c r="F70" s="4">
        <v>279</v>
      </c>
      <c r="G70" s="4">
        <v>744</v>
      </c>
      <c r="H70" s="3">
        <f t="shared" si="8"/>
        <v>0.7443310682059772</v>
      </c>
      <c r="I70" s="32">
        <f>SUM(E71:F71)/SUM('County Totals'!$E69:$F69)</f>
        <v>0.14348462664714495</v>
      </c>
      <c r="J70">
        <f t="shared" si="9"/>
        <v>54</v>
      </c>
      <c r="K70" s="1">
        <v>0</v>
      </c>
      <c r="L70" s="1">
        <v>12</v>
      </c>
      <c r="M70" s="1">
        <v>38</v>
      </c>
      <c r="N70" s="3">
        <f t="shared" si="10"/>
        <v>0.038016909397617114</v>
      </c>
      <c r="O70" s="32">
        <f>SUM(K70:L70)/SUM('County Totals'!$E69:$F69)</f>
        <v>0.017569546120058566</v>
      </c>
      <c r="P70">
        <f t="shared" si="11"/>
        <v>41</v>
      </c>
      <c r="Q70" s="1"/>
      <c r="R70" s="1"/>
      <c r="Y70" s="38"/>
      <c r="Z70" s="38"/>
      <c r="AA70" s="1"/>
      <c r="AB70" s="1"/>
      <c r="AC70" s="1"/>
      <c r="AD70" s="1"/>
    </row>
    <row r="71" spans="1:30" ht="15">
      <c r="A71" t="s">
        <v>67</v>
      </c>
      <c r="B71" s="2">
        <f>VLOOKUP($A71,'County Totals'!$A:$D,2,FALSE)</f>
        <v>266.814</v>
      </c>
      <c r="C71" s="2">
        <f>VLOOKUP($A71,'County Totals'!$A:$D,3,FALSE)</f>
        <v>631</v>
      </c>
      <c r="D71" s="2">
        <f>VLOOKUP($A71,'County Totals'!$A:$D,4,FALSE)</f>
        <v>168376.46300000013</v>
      </c>
      <c r="E71" s="4">
        <v>6</v>
      </c>
      <c r="F71" s="4">
        <v>92</v>
      </c>
      <c r="G71" s="4">
        <v>253</v>
      </c>
      <c r="H71" s="3">
        <f t="shared" si="8"/>
        <v>0.823334416914918</v>
      </c>
      <c r="I71" s="32">
        <f>SUM(E72:F72)/SUM('County Totals'!$E70:$F70)</f>
        <v>0.2028301886792453</v>
      </c>
      <c r="J71">
        <f t="shared" si="9"/>
        <v>62</v>
      </c>
      <c r="K71" s="1">
        <v>2</v>
      </c>
      <c r="L71" s="1">
        <v>12</v>
      </c>
      <c r="M71" s="1">
        <v>38</v>
      </c>
      <c r="N71" s="3">
        <f t="shared" si="10"/>
        <v>0.12366287684888097</v>
      </c>
      <c r="O71" s="32">
        <f>SUM(K71:L71)/SUM('County Totals'!$E70:$F70)</f>
        <v>0.0660377358490566</v>
      </c>
      <c r="P71">
        <f t="shared" si="11"/>
        <v>79</v>
      </c>
      <c r="Q71" s="1"/>
      <c r="R71" s="1"/>
      <c r="Y71" s="38"/>
      <c r="Z71" s="38"/>
      <c r="AA71" s="1"/>
      <c r="AB71" s="1"/>
      <c r="AC71" s="1"/>
      <c r="AD71" s="1"/>
    </row>
    <row r="72" spans="1:30" ht="15">
      <c r="A72" t="s">
        <v>68</v>
      </c>
      <c r="B72" s="2">
        <f>VLOOKUP($A72,'County Totals'!$A:$D,2,FALSE)</f>
        <v>331.20699999999994</v>
      </c>
      <c r="C72" s="2">
        <f>VLOOKUP($A72,'County Totals'!$A:$D,3,FALSE)</f>
        <v>559</v>
      </c>
      <c r="D72" s="2">
        <f>VLOOKUP($A72,'County Totals'!$A:$D,4,FALSE)</f>
        <v>185255.758</v>
      </c>
      <c r="E72" s="4">
        <v>1</v>
      </c>
      <c r="F72" s="4">
        <v>42</v>
      </c>
      <c r="G72" s="4">
        <v>116</v>
      </c>
      <c r="H72" s="3">
        <f t="shared" si="8"/>
        <v>0.34310212282641406</v>
      </c>
      <c r="I72" s="32">
        <f>SUM(E73:F73)/SUM('County Totals'!$E71:$F71)</f>
        <v>1.7657657657657657</v>
      </c>
      <c r="J72">
        <f t="shared" si="9"/>
        <v>7</v>
      </c>
      <c r="K72" s="1">
        <v>0</v>
      </c>
      <c r="L72" s="1">
        <v>2</v>
      </c>
      <c r="M72" s="1">
        <v>11</v>
      </c>
      <c r="N72" s="3">
        <f t="shared" si="10"/>
        <v>0.032535546130090985</v>
      </c>
      <c r="O72" s="32">
        <f>SUM(K72:L72)/SUM('County Totals'!$E71:$F71)</f>
        <v>0.018018018018018018</v>
      </c>
      <c r="P72">
        <f t="shared" si="11"/>
        <v>38</v>
      </c>
      <c r="Q72" s="1"/>
      <c r="R72" s="1"/>
      <c r="Y72" s="38"/>
      <c r="Z72" s="38"/>
      <c r="AA72" s="1"/>
      <c r="AB72" s="1"/>
      <c r="AC72" s="1"/>
      <c r="AD72" s="1"/>
    </row>
    <row r="73" spans="1:30" ht="15">
      <c r="A73" t="s">
        <v>69</v>
      </c>
      <c r="B73" s="2">
        <f>VLOOKUP($A73,'County Totals'!$A:$D,2,FALSE)</f>
        <v>345.9329999999999</v>
      </c>
      <c r="C73" s="2">
        <f>VLOOKUP($A73,'County Totals'!$A:$D,3,FALSE)</f>
        <v>1084</v>
      </c>
      <c r="D73" s="2">
        <f>VLOOKUP($A73,'County Totals'!$A:$D,4,FALSE)</f>
        <v>374882.701</v>
      </c>
      <c r="E73" s="4">
        <v>2</v>
      </c>
      <c r="F73" s="4">
        <v>194</v>
      </c>
      <c r="G73" s="4">
        <v>574</v>
      </c>
      <c r="H73" s="3">
        <f t="shared" si="8"/>
        <v>0.8389838931116896</v>
      </c>
      <c r="I73" s="32">
        <f>SUM(E74:F74)/SUM('County Totals'!$E72:$F72)</f>
        <v>0.6323809523809524</v>
      </c>
      <c r="J73">
        <f t="shared" si="9"/>
        <v>64</v>
      </c>
      <c r="K73" s="1">
        <v>0</v>
      </c>
      <c r="L73" s="1">
        <v>6</v>
      </c>
      <c r="M73" s="1">
        <v>36</v>
      </c>
      <c r="N73" s="3">
        <f t="shared" si="10"/>
        <v>0.05261919887111642</v>
      </c>
      <c r="O73" s="32">
        <f>SUM(K73:L73)/SUM('County Totals'!$E72:$F72)</f>
        <v>0.011428571428571429</v>
      </c>
      <c r="P73">
        <f t="shared" si="11"/>
        <v>54</v>
      </c>
      <c r="Q73" s="1"/>
      <c r="R73" s="1"/>
      <c r="Y73" s="38"/>
      <c r="Z73" s="38"/>
      <c r="AA73" s="1"/>
      <c r="AB73" s="1"/>
      <c r="AC73" s="1"/>
      <c r="AD73" s="1"/>
    </row>
    <row r="74" spans="1:30" ht="15">
      <c r="A74" t="s">
        <v>70</v>
      </c>
      <c r="B74" s="2">
        <f>VLOOKUP($A74,'County Totals'!$A:$D,2,FALSE)</f>
        <v>407.3200000000001</v>
      </c>
      <c r="C74" s="2">
        <f>VLOOKUP($A74,'County Totals'!$A:$D,3,FALSE)</f>
        <v>767</v>
      </c>
      <c r="D74" s="2">
        <f>VLOOKUP($A74,'County Totals'!$A:$D,4,FALSE)</f>
        <v>312609.491</v>
      </c>
      <c r="E74" s="4">
        <v>9</v>
      </c>
      <c r="F74" s="4">
        <v>323</v>
      </c>
      <c r="G74" s="4">
        <v>780</v>
      </c>
      <c r="H74" s="3">
        <f t="shared" si="8"/>
        <v>1.367192208102129</v>
      </c>
      <c r="I74" s="32">
        <f>SUM(E75:F75)/SUM('County Totals'!$E73:$F73)</f>
        <v>0.13226744186046513</v>
      </c>
      <c r="J74">
        <f t="shared" si="9"/>
        <v>80</v>
      </c>
      <c r="K74" s="1">
        <v>1</v>
      </c>
      <c r="L74" s="1">
        <v>30</v>
      </c>
      <c r="M74" s="1">
        <v>116</v>
      </c>
      <c r="N74" s="3">
        <f t="shared" si="10"/>
        <v>0.2033260206921115</v>
      </c>
      <c r="O74" s="32">
        <f>SUM(K74:L74)/SUM('County Totals'!$E73:$F73)</f>
        <v>0.04505813953488372</v>
      </c>
      <c r="P74">
        <f t="shared" si="11"/>
        <v>87</v>
      </c>
      <c r="Q74" s="1"/>
      <c r="R74" s="1"/>
      <c r="Y74" s="38"/>
      <c r="Z74" s="38"/>
      <c r="AA74" s="1"/>
      <c r="AB74" s="1"/>
      <c r="AC74" s="1"/>
      <c r="AD74" s="1"/>
    </row>
    <row r="75" spans="1:30" ht="15">
      <c r="A75" t="s">
        <v>71</v>
      </c>
      <c r="B75" s="2">
        <f>VLOOKUP($A75,'County Totals'!$A:$D,2,FALSE)</f>
        <v>313.3349999999999</v>
      </c>
      <c r="C75" s="2">
        <f>VLOOKUP($A75,'County Totals'!$A:$D,3,FALSE)</f>
        <v>718</v>
      </c>
      <c r="D75" s="2">
        <f>VLOOKUP($A75,'County Totals'!$A:$D,4,FALSE)</f>
        <v>225124.15599999996</v>
      </c>
      <c r="E75" s="4">
        <v>5</v>
      </c>
      <c r="F75" s="4">
        <v>86</v>
      </c>
      <c r="G75" s="4">
        <v>256</v>
      </c>
      <c r="H75" s="3">
        <f t="shared" si="8"/>
        <v>0.6230960510641058</v>
      </c>
      <c r="I75" s="32">
        <f>SUM(E76:F76)/SUM('County Totals'!$E74:$F74)</f>
        <v>1.1244979919678715</v>
      </c>
      <c r="J75">
        <f t="shared" si="9"/>
        <v>41</v>
      </c>
      <c r="K75" s="1">
        <v>0</v>
      </c>
      <c r="L75" s="1">
        <v>3</v>
      </c>
      <c r="M75" s="1">
        <v>9</v>
      </c>
      <c r="N75" s="3">
        <f t="shared" si="10"/>
        <v>0.02190572054522247</v>
      </c>
      <c r="O75" s="32">
        <f>SUM(K75:L75)/SUM('County Totals'!$E74:$F74)</f>
        <v>0.012048192771084338</v>
      </c>
      <c r="P75">
        <f t="shared" si="11"/>
        <v>17</v>
      </c>
      <c r="Q75" s="1"/>
      <c r="R75" s="1"/>
      <c r="Y75" s="38"/>
      <c r="Z75" s="38"/>
      <c r="AA75" s="1"/>
      <c r="AB75" s="1"/>
      <c r="AC75" s="1"/>
      <c r="AD75" s="1"/>
    </row>
    <row r="76" spans="1:30" ht="15">
      <c r="A76" t="s">
        <v>72</v>
      </c>
      <c r="B76" s="2">
        <f>VLOOKUP($A76,'County Totals'!$A:$D,2,FALSE)</f>
        <v>414.97999999999956</v>
      </c>
      <c r="C76" s="2">
        <f>VLOOKUP($A76,'County Totals'!$A:$D,3,FALSE)</f>
        <v>705</v>
      </c>
      <c r="D76" s="2">
        <f>VLOOKUP($A76,'County Totals'!$A:$D,4,FALSE)</f>
        <v>292484.135</v>
      </c>
      <c r="E76" s="4">
        <v>7</v>
      </c>
      <c r="F76" s="4">
        <v>273</v>
      </c>
      <c r="G76" s="4">
        <v>746</v>
      </c>
      <c r="H76" s="3">
        <f t="shared" si="8"/>
        <v>1.3975702418446432</v>
      </c>
      <c r="I76" s="32">
        <f>SUM(E77:F77)/SUM('County Totals'!$E75:$F75)</f>
        <v>0.14723032069970846</v>
      </c>
      <c r="J76">
        <f t="shared" si="9"/>
        <v>83</v>
      </c>
      <c r="K76" s="1">
        <v>0</v>
      </c>
      <c r="L76" s="1">
        <v>17</v>
      </c>
      <c r="M76" s="1">
        <v>67</v>
      </c>
      <c r="N76" s="3">
        <f t="shared" si="10"/>
        <v>0.12551904316835266</v>
      </c>
      <c r="O76" s="32">
        <f>SUM(K76:L76)/SUM('County Totals'!$E75:$F75)</f>
        <v>0.02478134110787172</v>
      </c>
      <c r="P76">
        <f t="shared" si="11"/>
        <v>80</v>
      </c>
      <c r="Q76" s="1"/>
      <c r="R76" s="1"/>
      <c r="Y76" s="38"/>
      <c r="Z76" s="38"/>
      <c r="AA76" s="1"/>
      <c r="AB76" s="1"/>
      <c r="AC76" s="1"/>
      <c r="AD76" s="1"/>
    </row>
    <row r="77" spans="1:30" ht="15">
      <c r="A77" t="s">
        <v>73</v>
      </c>
      <c r="B77" s="2">
        <f>VLOOKUP($A77,'County Totals'!$A:$D,2,FALSE)</f>
        <v>393.5250000000002</v>
      </c>
      <c r="C77" s="2">
        <f>VLOOKUP($A77,'County Totals'!$A:$D,3,FALSE)</f>
        <v>501</v>
      </c>
      <c r="D77" s="2">
        <f>VLOOKUP($A77,'County Totals'!$A:$D,4,FALSE)</f>
        <v>197072.17200000002</v>
      </c>
      <c r="E77" s="4">
        <v>2</v>
      </c>
      <c r="F77" s="4">
        <v>99</v>
      </c>
      <c r="G77" s="4">
        <v>241</v>
      </c>
      <c r="H77" s="3">
        <f t="shared" si="8"/>
        <v>0.6700834175641396</v>
      </c>
      <c r="I77" s="32">
        <f>SUM(E78:F78)/SUM('County Totals'!$E76:$F76)</f>
        <v>0.5021645021645021</v>
      </c>
      <c r="J77">
        <f t="shared" si="9"/>
        <v>46</v>
      </c>
      <c r="K77" s="1">
        <v>0</v>
      </c>
      <c r="L77" s="1">
        <v>2</v>
      </c>
      <c r="M77" s="1">
        <v>16</v>
      </c>
      <c r="N77" s="3">
        <f t="shared" si="10"/>
        <v>0.04448686589637441</v>
      </c>
      <c r="O77" s="32">
        <f>SUM(K77:L77)/SUM('County Totals'!$E76:$F76)</f>
        <v>0.008658008658008658</v>
      </c>
      <c r="P77">
        <f t="shared" si="11"/>
        <v>47</v>
      </c>
      <c r="Q77" s="1"/>
      <c r="R77" s="1"/>
      <c r="Y77" s="38"/>
      <c r="Z77" s="38"/>
      <c r="AA77" s="1"/>
      <c r="AB77" s="1"/>
      <c r="AC77" s="1"/>
      <c r="AD77" s="1"/>
    </row>
    <row r="78" spans="1:30" ht="15">
      <c r="A78" t="s">
        <v>74</v>
      </c>
      <c r="B78" s="2">
        <f>VLOOKUP($A78,'County Totals'!$A:$D,2,FALSE)</f>
        <v>409.4109999999994</v>
      </c>
      <c r="C78" s="2">
        <f>VLOOKUP($A78,'County Totals'!$A:$D,3,FALSE)</f>
        <v>675</v>
      </c>
      <c r="D78" s="2">
        <f>VLOOKUP($A78,'County Totals'!$A:$D,4,FALSE)</f>
        <v>276232.89399999985</v>
      </c>
      <c r="E78" s="4">
        <v>4</v>
      </c>
      <c r="F78" s="4">
        <v>112</v>
      </c>
      <c r="G78" s="4">
        <v>309</v>
      </c>
      <c r="H78" s="3">
        <f t="shared" si="8"/>
        <v>0.6129431800875633</v>
      </c>
      <c r="I78" s="32">
        <f>SUM(E79:F79)/SUM('County Totals'!$E77:$F77)</f>
        <v>1.2816901408450705</v>
      </c>
      <c r="J78">
        <f t="shared" si="9"/>
        <v>40</v>
      </c>
      <c r="K78" s="1">
        <v>0</v>
      </c>
      <c r="L78" s="1">
        <v>9</v>
      </c>
      <c r="M78" s="1">
        <v>23</v>
      </c>
      <c r="N78" s="3">
        <f t="shared" si="10"/>
        <v>0.04562360240133966</v>
      </c>
      <c r="O78" s="32">
        <f>SUM(K78:L78)/SUM('County Totals'!$E77:$F77)</f>
        <v>0.03169014084507042</v>
      </c>
      <c r="P78">
        <f t="shared" si="11"/>
        <v>48</v>
      </c>
      <c r="Q78" s="1"/>
      <c r="R78" s="1"/>
      <c r="Z78" s="38"/>
      <c r="AA78" s="1"/>
      <c r="AB78" s="1"/>
      <c r="AC78" s="1"/>
      <c r="AD78" s="1"/>
    </row>
    <row r="79" spans="1:30" ht="15">
      <c r="A79" t="s">
        <v>75</v>
      </c>
      <c r="B79" s="2">
        <f>VLOOKUP($A79,'County Totals'!$A:$D,2,FALSE)</f>
        <v>408.07800000000043</v>
      </c>
      <c r="C79" s="2">
        <f>VLOOKUP($A79,'County Totals'!$A:$D,3,FALSE)</f>
        <v>3635</v>
      </c>
      <c r="D79" s="2">
        <f>VLOOKUP($A79,'County Totals'!$A:$D,4,FALSE)</f>
        <v>1483537.2359999993</v>
      </c>
      <c r="E79" s="4">
        <v>16</v>
      </c>
      <c r="F79" s="4">
        <v>348</v>
      </c>
      <c r="G79" s="4">
        <v>1094</v>
      </c>
      <c r="H79" s="3">
        <f t="shared" si="8"/>
        <v>0.4040694363768034</v>
      </c>
      <c r="I79" s="32">
        <f>SUM(E80:F80)/SUM('County Totals'!$E78:$F78)</f>
        <v>0.05372549019607843</v>
      </c>
      <c r="J79">
        <f t="shared" si="9"/>
        <v>15</v>
      </c>
      <c r="K79" s="1">
        <v>2</v>
      </c>
      <c r="L79" s="1">
        <v>21</v>
      </c>
      <c r="M79" s="1">
        <v>69</v>
      </c>
      <c r="N79" s="3">
        <f t="shared" si="10"/>
        <v>0.025485183829981203</v>
      </c>
      <c r="O79" s="32">
        <f>SUM(K79:L79)/SUM('County Totals'!$E78:$F78)</f>
        <v>0.009019607843137255</v>
      </c>
      <c r="P79">
        <f t="shared" si="11"/>
        <v>28</v>
      </c>
      <c r="Q79" s="1"/>
      <c r="R79" s="1"/>
      <c r="Z79" s="38"/>
      <c r="AA79" s="1"/>
      <c r="AB79" s="1"/>
      <c r="AC79" s="1"/>
      <c r="AD79" s="1"/>
    </row>
    <row r="80" spans="1:30" ht="15">
      <c r="A80" t="s">
        <v>76</v>
      </c>
      <c r="B80" s="2">
        <f>VLOOKUP($A80,'County Totals'!$A:$D,2,FALSE)</f>
        <v>177.65900000000008</v>
      </c>
      <c r="C80" s="2">
        <f>VLOOKUP($A80,'County Totals'!$A:$D,3,FALSE)</f>
        <v>4015</v>
      </c>
      <c r="D80" s="2">
        <f>VLOOKUP($A80,'County Totals'!$A:$D,4,FALSE)</f>
        <v>713269.9910000002</v>
      </c>
      <c r="E80" s="4">
        <v>9</v>
      </c>
      <c r="F80" s="4">
        <v>128</v>
      </c>
      <c r="G80" s="4">
        <v>411</v>
      </c>
      <c r="H80" s="3">
        <f t="shared" si="8"/>
        <v>0.31573665273134244</v>
      </c>
      <c r="I80" s="32">
        <f>SUM(E81:F81)/SUM('County Totals'!$E79:$F79)</f>
        <v>0.32455089820359284</v>
      </c>
      <c r="J80">
        <f t="shared" si="9"/>
        <v>5</v>
      </c>
      <c r="K80" s="1">
        <v>0</v>
      </c>
      <c r="L80" s="1">
        <v>7</v>
      </c>
      <c r="M80" s="1">
        <v>21</v>
      </c>
      <c r="N80" s="3">
        <f t="shared" si="10"/>
        <v>0.01613252970160144</v>
      </c>
      <c r="O80" s="32">
        <f>SUM(K80:L80)/SUM('County Totals'!$E79:$F79)</f>
        <v>0.008383233532934131</v>
      </c>
      <c r="P80">
        <f t="shared" si="11"/>
        <v>6</v>
      </c>
      <c r="Q80" s="1"/>
      <c r="R80" s="1"/>
      <c r="Z80" s="38"/>
      <c r="AA80" s="1"/>
      <c r="AB80" s="1"/>
      <c r="AC80" s="1"/>
      <c r="AD80" s="1"/>
    </row>
    <row r="81" spans="1:30" ht="15">
      <c r="A81" t="s">
        <v>77</v>
      </c>
      <c r="B81" s="2">
        <f>VLOOKUP($A81,'County Totals'!$A:$D,2,FALSE)</f>
        <v>453.77200000000005</v>
      </c>
      <c r="C81" s="2">
        <f>VLOOKUP($A81,'County Totals'!$A:$D,3,FALSE)</f>
        <v>1710</v>
      </c>
      <c r="D81" s="2">
        <f>VLOOKUP($A81,'County Totals'!$A:$D,4,FALSE)</f>
        <v>775946.2159999994</v>
      </c>
      <c r="E81" s="4">
        <v>3</v>
      </c>
      <c r="F81" s="4">
        <v>268</v>
      </c>
      <c r="G81" s="4">
        <v>736</v>
      </c>
      <c r="H81" s="3">
        <f t="shared" si="8"/>
        <v>0.5197366298296079</v>
      </c>
      <c r="I81" s="32">
        <f>SUM(E82:F82)/SUM('County Totals'!$E80:$F80)</f>
        <v>0.255653883972468</v>
      </c>
      <c r="J81">
        <f t="shared" si="9"/>
        <v>28</v>
      </c>
      <c r="K81" s="1">
        <v>1</v>
      </c>
      <c r="L81" s="1">
        <v>11</v>
      </c>
      <c r="M81" s="1">
        <v>36</v>
      </c>
      <c r="N81" s="3">
        <f t="shared" si="10"/>
        <v>0.025421900372100386</v>
      </c>
      <c r="O81" s="32">
        <f>SUM(K81:L81)/SUM('County Totals'!$E80:$F80)</f>
        <v>0.011799410029498525</v>
      </c>
      <c r="P81">
        <f t="shared" si="11"/>
        <v>26</v>
      </c>
      <c r="Q81" s="1"/>
      <c r="R81" s="1"/>
      <c r="Z81" s="38"/>
      <c r="AA81" s="1"/>
      <c r="AB81" s="1"/>
      <c r="AC81" s="1"/>
      <c r="AD81" s="1"/>
    </row>
    <row r="82" spans="1:30" ht="15">
      <c r="A82" t="s">
        <v>78</v>
      </c>
      <c r="B82" s="2">
        <f>VLOOKUP($A82,'County Totals'!$A:$D,2,FALSE)</f>
        <v>463.15699999999964</v>
      </c>
      <c r="C82" s="2">
        <f>VLOOKUP($A82,'County Totals'!$A:$D,3,FALSE)</f>
        <v>596</v>
      </c>
      <c r="D82" s="2">
        <f>VLOOKUP($A82,'County Totals'!$A:$D,4,FALSE)</f>
        <v>275930.0759999999</v>
      </c>
      <c r="E82" s="4">
        <v>7</v>
      </c>
      <c r="F82" s="4">
        <v>253</v>
      </c>
      <c r="G82" s="4">
        <v>698</v>
      </c>
      <c r="H82" s="3">
        <f t="shared" si="8"/>
        <v>1.3860966479951888</v>
      </c>
      <c r="I82" s="32">
        <f>SUM(E83:F83)/SUM('County Totals'!$E81:$F81)</f>
        <v>0.12162162162162163</v>
      </c>
      <c r="J82">
        <f t="shared" si="9"/>
        <v>82</v>
      </c>
      <c r="K82" s="1">
        <v>1</v>
      </c>
      <c r="L82" s="1">
        <v>29</v>
      </c>
      <c r="M82" s="1">
        <v>78</v>
      </c>
      <c r="N82" s="3">
        <f t="shared" si="10"/>
        <v>0.15489332169573744</v>
      </c>
      <c r="O82" s="32">
        <f>SUM(K82:L82)/SUM('County Totals'!$E81:$F81)</f>
        <v>0.05067567567567568</v>
      </c>
      <c r="P82">
        <f t="shared" si="11"/>
        <v>83</v>
      </c>
      <c r="Q82" s="1"/>
      <c r="R82" s="1"/>
      <c r="Z82" s="38"/>
      <c r="AA82" s="1"/>
      <c r="AB82" s="1"/>
      <c r="AC82" s="1"/>
      <c r="AD82" s="1"/>
    </row>
    <row r="83" spans="1:30" ht="15">
      <c r="A83" t="s">
        <v>79</v>
      </c>
      <c r="B83" s="2">
        <f>VLOOKUP($A83,'County Totals'!$A:$D,2,FALSE)</f>
        <v>465.0910000000001</v>
      </c>
      <c r="C83" s="2">
        <f>VLOOKUP($A83,'County Totals'!$A:$D,3,FALSE)</f>
        <v>791</v>
      </c>
      <c r="D83" s="2">
        <f>VLOOKUP($A83,'County Totals'!$A:$D,4,FALSE)</f>
        <v>367680.4269999998</v>
      </c>
      <c r="E83" s="4">
        <v>2</v>
      </c>
      <c r="F83" s="4">
        <v>70</v>
      </c>
      <c r="G83" s="4">
        <v>244</v>
      </c>
      <c r="H83" s="3">
        <f t="shared" si="8"/>
        <v>0.36362727063789657</v>
      </c>
      <c r="I83" s="32">
        <f>SUM(E84:F84)/SUM('County Totals'!$E82:$F82)</f>
        <v>0.14285714285714285</v>
      </c>
      <c r="J83">
        <f t="shared" si="9"/>
        <v>10</v>
      </c>
      <c r="K83" s="1">
        <v>0</v>
      </c>
      <c r="L83" s="1">
        <v>4</v>
      </c>
      <c r="M83" s="1">
        <v>15</v>
      </c>
      <c r="N83" s="3">
        <f t="shared" si="10"/>
        <v>0.022354135490034625</v>
      </c>
      <c r="O83" s="32">
        <f>SUM(K83:L83)/SUM('County Totals'!$E82:$F82)</f>
        <v>0.0163265306122449</v>
      </c>
      <c r="P83">
        <f t="shared" si="11"/>
        <v>19</v>
      </c>
      <c r="Q83" s="1"/>
      <c r="R83" s="1"/>
      <c r="Z83" s="38"/>
      <c r="AA83" s="1"/>
      <c r="AB83" s="1"/>
      <c r="AC83" s="1"/>
      <c r="AD83" s="1"/>
    </row>
    <row r="84" spans="1:30" ht="15">
      <c r="A84" t="s">
        <v>80</v>
      </c>
      <c r="B84" s="2">
        <f>VLOOKUP($A84,'County Totals'!$A:$D,2,FALSE)</f>
        <v>267.484</v>
      </c>
      <c r="C84" s="2">
        <f>VLOOKUP($A84,'County Totals'!$A:$D,3,FALSE)</f>
        <v>566</v>
      </c>
      <c r="D84" s="2">
        <f>VLOOKUP($A84,'County Totals'!$A:$D,4,FALSE)</f>
        <v>151405.22599999994</v>
      </c>
      <c r="E84" s="4">
        <v>1</v>
      </c>
      <c r="F84" s="4">
        <v>34</v>
      </c>
      <c r="G84" s="4">
        <v>110</v>
      </c>
      <c r="H84" s="3">
        <f t="shared" si="8"/>
        <v>0.39809704192601475</v>
      </c>
      <c r="I84" s="32">
        <f>SUM(E85:F85)/SUM('County Totals'!$E83:$F83)</f>
        <v>0.45714285714285713</v>
      </c>
      <c r="J84">
        <f t="shared" si="9"/>
        <v>14</v>
      </c>
      <c r="K84" s="1">
        <v>0</v>
      </c>
      <c r="L84" s="1">
        <v>3</v>
      </c>
      <c r="M84" s="1">
        <v>4</v>
      </c>
      <c r="N84" s="3">
        <f t="shared" si="10"/>
        <v>0.014476256070036901</v>
      </c>
      <c r="O84" s="32">
        <f>SUM(K84:L84)/SUM('County Totals'!$E83:$F83)</f>
        <v>0.02857142857142857</v>
      </c>
      <c r="P84">
        <f t="shared" si="11"/>
        <v>4</v>
      </c>
      <c r="Q84" s="1"/>
      <c r="R84" s="1"/>
      <c r="Z84" s="38"/>
      <c r="AA84" s="1"/>
      <c r="AB84" s="1"/>
      <c r="AC84" s="1"/>
      <c r="AD84" s="1"/>
    </row>
    <row r="85" spans="1:30" ht="15">
      <c r="A85" t="s">
        <v>81</v>
      </c>
      <c r="B85" s="2">
        <f>VLOOKUP($A85,'County Totals'!$A:$D,2,FALSE)</f>
        <v>198.82999999999998</v>
      </c>
      <c r="C85" s="2">
        <f>VLOOKUP($A85,'County Totals'!$A:$D,3,FALSE)</f>
        <v>285</v>
      </c>
      <c r="D85" s="2">
        <f>VLOOKUP($A85,'County Totals'!$A:$D,4,FALSE)</f>
        <v>56761.75999999999</v>
      </c>
      <c r="E85" s="4">
        <v>3</v>
      </c>
      <c r="F85" s="4">
        <v>45</v>
      </c>
      <c r="G85" s="4">
        <v>113</v>
      </c>
      <c r="H85" s="3">
        <f t="shared" si="8"/>
        <v>1.0908366516326853</v>
      </c>
      <c r="I85" s="32">
        <f>SUM(E86:F86)/SUM('County Totals'!$E84:$F84)</f>
        <v>2.688888888888889</v>
      </c>
      <c r="J85">
        <f t="shared" si="9"/>
        <v>76</v>
      </c>
      <c r="K85" s="1">
        <v>0</v>
      </c>
      <c r="L85" s="1">
        <v>1</v>
      </c>
      <c r="M85" s="1">
        <v>6</v>
      </c>
      <c r="N85" s="3">
        <f t="shared" si="10"/>
        <v>0.05792053017518683</v>
      </c>
      <c r="O85" s="32">
        <f>SUM(K85:L85)/SUM('County Totals'!$E84:$F84)</f>
        <v>0.011111111111111112</v>
      </c>
      <c r="P85">
        <f t="shared" si="11"/>
        <v>58</v>
      </c>
      <c r="Q85" s="1"/>
      <c r="R85" s="1"/>
      <c r="Z85" s="38"/>
      <c r="AA85" s="1"/>
      <c r="AB85" s="1"/>
      <c r="AC85" s="1"/>
      <c r="AD85" s="1"/>
    </row>
    <row r="86" spans="1:30" ht="15">
      <c r="A86" t="s">
        <v>82</v>
      </c>
      <c r="B86" s="2">
        <f>VLOOKUP($A86,'County Totals'!$A:$D,2,FALSE)</f>
        <v>272.4819999999999</v>
      </c>
      <c r="C86" s="2">
        <f>VLOOKUP($A86,'County Totals'!$A:$D,3,FALSE)</f>
        <v>2575</v>
      </c>
      <c r="D86" s="2">
        <f>VLOOKUP($A86,'County Totals'!$A:$D,4,FALSE)</f>
        <v>701638.0919999996</v>
      </c>
      <c r="E86" s="4">
        <v>3</v>
      </c>
      <c r="F86" s="4">
        <v>239</v>
      </c>
      <c r="G86" s="4">
        <v>740</v>
      </c>
      <c r="H86" s="3">
        <f t="shared" si="8"/>
        <v>0.5779039887914106</v>
      </c>
      <c r="I86" s="32">
        <f>SUM(E87:F87)/SUM('County Totals'!$E85:$F85)</f>
        <v>0.08957795004306632</v>
      </c>
      <c r="J86">
        <f t="shared" si="9"/>
        <v>35</v>
      </c>
      <c r="K86" s="1">
        <v>0</v>
      </c>
      <c r="L86" s="1">
        <v>25</v>
      </c>
      <c r="M86" s="1">
        <v>95</v>
      </c>
      <c r="N86" s="3">
        <f t="shared" si="10"/>
        <v>0.07419037693943785</v>
      </c>
      <c r="O86" s="32">
        <f>SUM(K86:L86)/SUM('County Totals'!$E85:$F85)</f>
        <v>0.02153316106804479</v>
      </c>
      <c r="P86">
        <f t="shared" si="11"/>
        <v>67</v>
      </c>
      <c r="Q86" s="1"/>
      <c r="R86" s="1"/>
      <c r="Z86" s="38"/>
      <c r="AA86" s="1"/>
      <c r="AB86" s="1"/>
      <c r="AC86" s="1"/>
      <c r="AD86" s="1"/>
    </row>
    <row r="87" spans="1:30" ht="15">
      <c r="A87" t="s">
        <v>83</v>
      </c>
      <c r="B87" s="2">
        <f>VLOOKUP($A87,'County Totals'!$A:$D,2,FALSE)</f>
        <v>338.5459999999996</v>
      </c>
      <c r="C87" s="2">
        <f>VLOOKUP($A87,'County Totals'!$A:$D,3,FALSE)</f>
        <v>419</v>
      </c>
      <c r="D87" s="2">
        <f>VLOOKUP($A87,'County Totals'!$A:$D,4,FALSE)</f>
        <v>141971.93900000007</v>
      </c>
      <c r="E87" s="4">
        <v>3</v>
      </c>
      <c r="F87" s="4">
        <v>101</v>
      </c>
      <c r="G87" s="4">
        <v>281</v>
      </c>
      <c r="H87" s="3">
        <f t="shared" si="8"/>
        <v>1.0845284203642942</v>
      </c>
      <c r="I87" s="32">
        <f>SUM(E88:F88)/SUM('County Totals'!$E86:$F86)</f>
        <v>1.3628318584070795</v>
      </c>
      <c r="J87">
        <f t="shared" si="9"/>
        <v>75</v>
      </c>
      <c r="K87" s="1">
        <v>0</v>
      </c>
      <c r="L87" s="1">
        <v>13</v>
      </c>
      <c r="M87" s="1">
        <v>46</v>
      </c>
      <c r="N87" s="3">
        <f t="shared" si="10"/>
        <v>0.17753846027315848</v>
      </c>
      <c r="O87" s="32">
        <f>SUM(K87:L87)/SUM('County Totals'!$E86:$F86)</f>
        <v>0.05752212389380531</v>
      </c>
      <c r="P87">
        <f t="shared" si="11"/>
        <v>84</v>
      </c>
      <c r="Q87" s="1"/>
      <c r="R87" s="1"/>
      <c r="Z87" s="38"/>
      <c r="AA87" s="1"/>
      <c r="AB87" s="1"/>
      <c r="AC87" s="1"/>
      <c r="AD87" s="1"/>
    </row>
    <row r="88" spans="1:30" ht="15">
      <c r="A88" t="s">
        <v>84</v>
      </c>
      <c r="B88" s="2">
        <f>VLOOKUP($A88,'County Totals'!$A:$D,2,FALSE)</f>
        <v>505.7419999999996</v>
      </c>
      <c r="C88" s="2">
        <f>VLOOKUP($A88,'County Totals'!$A:$D,3,FALSE)</f>
        <v>1107</v>
      </c>
      <c r="D88" s="2">
        <f>VLOOKUP($A88,'County Totals'!$A:$D,4,FALSE)</f>
        <v>560070.1170000003</v>
      </c>
      <c r="E88" s="4">
        <v>5</v>
      </c>
      <c r="F88" s="4">
        <v>303</v>
      </c>
      <c r="G88" s="4">
        <v>804</v>
      </c>
      <c r="H88" s="3">
        <f t="shared" si="8"/>
        <v>0.7865942706696475</v>
      </c>
      <c r="I88" s="32">
        <f>SUM(E89:F89)/SUM('County Totals'!$E87:$F87)</f>
        <v>0.07940161104718067</v>
      </c>
      <c r="J88">
        <f t="shared" si="9"/>
        <v>60</v>
      </c>
      <c r="K88" s="1">
        <v>0</v>
      </c>
      <c r="L88" s="1">
        <v>13</v>
      </c>
      <c r="M88" s="1">
        <v>39</v>
      </c>
      <c r="N88" s="3">
        <f t="shared" si="10"/>
        <v>0.03815569223397544</v>
      </c>
      <c r="O88" s="32">
        <f>SUM(K88:L88)/SUM('County Totals'!$E87:$F87)</f>
        <v>0.014959723820483314</v>
      </c>
      <c r="P88">
        <f t="shared" si="11"/>
        <v>42</v>
      </c>
      <c r="Q88" s="1"/>
      <c r="R88" s="1"/>
      <c r="Z88" s="38"/>
      <c r="AA88" s="1"/>
      <c r="AB88" s="1"/>
      <c r="AC88" s="1"/>
      <c r="AD88" s="1"/>
    </row>
    <row r="89" spans="1:30" ht="15">
      <c r="A89" t="s">
        <v>85</v>
      </c>
      <c r="B89" s="2">
        <f>VLOOKUP($A89,'County Totals'!$A:$D,2,FALSE)</f>
        <v>399.6799999999999</v>
      </c>
      <c r="C89" s="2">
        <f>VLOOKUP($A89,'County Totals'!$A:$D,3,FALSE)</f>
        <v>421</v>
      </c>
      <c r="D89" s="2">
        <f>VLOOKUP($A89,'County Totals'!$A:$D,4,FALSE)</f>
        <v>168238.39099999995</v>
      </c>
      <c r="E89" s="4">
        <v>2</v>
      </c>
      <c r="F89" s="4">
        <v>67</v>
      </c>
      <c r="G89" s="4">
        <v>219</v>
      </c>
      <c r="H89" s="3">
        <f t="shared" si="8"/>
        <v>0.7132735833166644</v>
      </c>
      <c r="I89" s="32">
        <f>SUM(E90:F90)/SUM('County Totals'!$E88:$F88)</f>
        <v>0.4536082474226804</v>
      </c>
      <c r="J89">
        <f t="shared" si="9"/>
        <v>51</v>
      </c>
      <c r="K89" s="1">
        <v>0</v>
      </c>
      <c r="L89" s="1">
        <v>2</v>
      </c>
      <c r="M89" s="1">
        <v>9</v>
      </c>
      <c r="N89" s="3">
        <f t="shared" si="10"/>
        <v>0.029312613013013602</v>
      </c>
      <c r="O89" s="32">
        <f>SUM(K89:L89)/SUM('County Totals'!$E88:$F88)</f>
        <v>0.010309278350515464</v>
      </c>
      <c r="P89">
        <f t="shared" si="11"/>
        <v>34</v>
      </c>
      <c r="Q89" s="1"/>
      <c r="R89" s="1"/>
      <c r="Z89" s="38"/>
      <c r="AA89" s="1"/>
      <c r="AB89" s="1"/>
      <c r="AC89" s="1"/>
      <c r="AD89" s="1"/>
    </row>
    <row r="90" spans="1:30" ht="15">
      <c r="A90" t="s">
        <v>86</v>
      </c>
      <c r="B90" s="2">
        <f>VLOOKUP($A90,'County Totals'!$A:$D,2,FALSE)</f>
        <v>242.92900000000003</v>
      </c>
      <c r="C90" s="2">
        <f>VLOOKUP($A90,'County Totals'!$A:$D,3,FALSE)</f>
        <v>1086</v>
      </c>
      <c r="D90" s="2">
        <f>VLOOKUP($A90,'County Totals'!$A:$D,4,FALSE)</f>
        <v>263717.71499999997</v>
      </c>
      <c r="E90" s="4">
        <v>2</v>
      </c>
      <c r="F90" s="4">
        <v>86</v>
      </c>
      <c r="G90" s="4">
        <v>255</v>
      </c>
      <c r="H90" s="3">
        <f t="shared" si="8"/>
        <v>0.5298317839484552</v>
      </c>
      <c r="I90" s="32">
        <f>SUM(E91:F91)/SUM('County Totals'!$E89:$F89)</f>
        <v>0.1465798045602606</v>
      </c>
      <c r="J90">
        <f t="shared" si="9"/>
        <v>30</v>
      </c>
      <c r="K90" s="1">
        <v>1</v>
      </c>
      <c r="L90" s="1">
        <v>2</v>
      </c>
      <c r="M90" s="1">
        <v>19</v>
      </c>
      <c r="N90" s="3">
        <f t="shared" si="10"/>
        <v>0.039477662333414314</v>
      </c>
      <c r="O90" s="32">
        <f>SUM(K90:L90)/SUM('County Totals'!$E89:$F89)</f>
        <v>0.009771986970684038</v>
      </c>
      <c r="P90">
        <f t="shared" si="11"/>
        <v>43</v>
      </c>
      <c r="Q90" s="1"/>
      <c r="R90" s="1"/>
      <c r="Z90" s="38"/>
      <c r="AA90" s="1"/>
      <c r="AB90" s="1"/>
      <c r="AC90" s="1"/>
      <c r="AD90" s="1"/>
    </row>
    <row r="91" spans="1:30" ht="15">
      <c r="A91" t="s">
        <v>87</v>
      </c>
      <c r="B91" s="2">
        <f>VLOOKUP($A91,'County Totals'!$A:$D,2,FALSE)</f>
        <v>322.621</v>
      </c>
      <c r="C91" s="2">
        <f>VLOOKUP($A91,'County Totals'!$A:$D,3,FALSE)</f>
        <v>347</v>
      </c>
      <c r="D91" s="2">
        <f>VLOOKUP($A91,'County Totals'!$A:$D,4,FALSE)</f>
        <v>112013.70999999998</v>
      </c>
      <c r="E91" s="4">
        <v>0</v>
      </c>
      <c r="F91" s="4">
        <v>45</v>
      </c>
      <c r="G91" s="4">
        <v>96</v>
      </c>
      <c r="H91" s="3">
        <f t="shared" si="8"/>
        <v>0.4696098337072078</v>
      </c>
      <c r="I91" s="32">
        <f>SUM(E92:F92)/SUM('County Totals'!$E90:$F90)</f>
        <v>0</v>
      </c>
      <c r="J91">
        <f t="shared" si="9"/>
        <v>23</v>
      </c>
      <c r="K91" s="1">
        <v>0</v>
      </c>
      <c r="L91" s="1">
        <v>5</v>
      </c>
      <c r="M91" s="1">
        <v>12</v>
      </c>
      <c r="N91" s="3">
        <f t="shared" si="10"/>
        <v>0.05870122921340098</v>
      </c>
      <c r="O91" s="32">
        <f>SUM(K91:L91)/SUM('County Totals'!$E90:$F90)</f>
        <v>0.06578947368421052</v>
      </c>
      <c r="P91">
        <f t="shared" si="11"/>
        <v>59</v>
      </c>
      <c r="Q91" s="1"/>
      <c r="R91" s="1"/>
      <c r="Z91" s="38"/>
      <c r="AA91" s="1"/>
      <c r="AB91" s="1"/>
      <c r="AC91" s="1"/>
      <c r="AD91" s="1"/>
    </row>
    <row r="92" spans="5:7" ht="15">
      <c r="E92" s="4"/>
      <c r="F92" s="4"/>
      <c r="G92" s="4"/>
    </row>
  </sheetData>
  <sheetProtection/>
  <autoFilter ref="A3:P91">
    <sortState ref="A4:P92">
      <sortCondition sortBy="value" ref="A4:A92"/>
    </sortState>
  </autoFilter>
  <mergeCells count="4">
    <mergeCell ref="E2:J2"/>
    <mergeCell ref="K2:P2"/>
    <mergeCell ref="E1:J1"/>
    <mergeCell ref="K1:P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2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9.28125" style="0" bestFit="1" customWidth="1"/>
    <col min="3" max="3" width="10.57421875" style="0" bestFit="1" customWidth="1"/>
    <col min="4" max="4" width="13.8515625" style="0" bestFit="1" customWidth="1"/>
    <col min="5" max="6" width="9.28125" style="4" bestFit="1" customWidth="1"/>
    <col min="7" max="7" width="11.7109375" style="0" customWidth="1"/>
    <col min="8" max="8" width="9.28125" style="4" bestFit="1" customWidth="1"/>
    <col min="9" max="10" width="9.28125" style="4" customWidth="1"/>
  </cols>
  <sheetData>
    <row r="1" spans="5:10" ht="15" customHeight="1">
      <c r="E1" s="148" t="s">
        <v>95</v>
      </c>
      <c r="F1" s="148"/>
      <c r="G1" s="148"/>
      <c r="H1" s="148"/>
      <c r="I1" s="148"/>
      <c r="J1" s="148"/>
    </row>
    <row r="2" spans="5:10" ht="33" customHeight="1">
      <c r="E2" s="149" t="s">
        <v>188</v>
      </c>
      <c r="F2" s="149"/>
      <c r="G2" s="149"/>
      <c r="H2" s="149"/>
      <c r="I2" s="149"/>
      <c r="J2" s="149"/>
    </row>
    <row r="3" spans="1:10" ht="120">
      <c r="A3" s="5" t="s">
        <v>88</v>
      </c>
      <c r="B3" s="5" t="s">
        <v>190</v>
      </c>
      <c r="C3" s="5" t="s">
        <v>90</v>
      </c>
      <c r="D3" s="5" t="s">
        <v>89</v>
      </c>
      <c r="E3" s="6" t="s">
        <v>93</v>
      </c>
      <c r="F3" s="6" t="s">
        <v>94</v>
      </c>
      <c r="G3" s="6" t="s">
        <v>92</v>
      </c>
      <c r="H3" s="5" t="s">
        <v>91</v>
      </c>
      <c r="I3" s="5" t="s">
        <v>115</v>
      </c>
      <c r="J3" s="5" t="s">
        <v>155</v>
      </c>
    </row>
    <row r="4" spans="1:10" ht="15">
      <c r="A4" t="s">
        <v>0</v>
      </c>
      <c r="B4" s="2">
        <f>VLOOKUP($A4,'County Totals'!$A:$D,2,FALSE)</f>
        <v>374.96000000000026</v>
      </c>
      <c r="C4" s="2">
        <f>VLOOKUP($A4,'County Totals'!$A:$D,3,FALSE)</f>
        <v>346</v>
      </c>
      <c r="D4" s="2">
        <f>VLOOKUP($A4,'County Totals'!$A:$D,4,FALSE)</f>
        <v>129830.38699999993</v>
      </c>
      <c r="E4" s="4">
        <v>4</v>
      </c>
      <c r="F4" s="4">
        <v>63</v>
      </c>
      <c r="G4" s="4">
        <v>207</v>
      </c>
      <c r="H4" s="3">
        <f>G4*1000000/(5*365*$B4*$D4/$B4)</f>
        <v>0.8736372135611569</v>
      </c>
      <c r="I4" s="3">
        <f>SUM(E4:F4)/SUM('County Totals'!E3:F3)</f>
        <v>0.3507853403141361</v>
      </c>
      <c r="J4">
        <f aca="true" t="shared" si="0" ref="J4:J35">_xlfn.RANK.AVG(H4,H$1:H$65536,1)</f>
        <v>74</v>
      </c>
    </row>
    <row r="5" spans="1:10" ht="15">
      <c r="A5" t="s">
        <v>1</v>
      </c>
      <c r="B5" s="2">
        <f>VLOOKUP($A5,'County Totals'!$A:$D,2,FALSE)</f>
        <v>353.2279999999997</v>
      </c>
      <c r="C5" s="2">
        <f>VLOOKUP($A5,'County Totals'!$A:$D,3,FALSE)</f>
        <v>1581</v>
      </c>
      <c r="D5" s="2">
        <f>VLOOKUP($A5,'County Totals'!$A:$D,4,FALSE)</f>
        <v>558441.7940000001</v>
      </c>
      <c r="E5" s="4">
        <v>8</v>
      </c>
      <c r="F5" s="4">
        <v>103</v>
      </c>
      <c r="G5" s="4">
        <v>314</v>
      </c>
      <c r="H5" s="3">
        <f aca="true" t="shared" si="1" ref="H5:H68">G5*1000000/(5*365*$B5*$D5/$B5)</f>
        <v>0.30809799046048464</v>
      </c>
      <c r="I5" s="3">
        <f>SUM(E5:F5)/SUM('County Totals'!E4:F4)</f>
        <v>0.15677966101694915</v>
      </c>
      <c r="J5">
        <f t="shared" si="0"/>
        <v>20</v>
      </c>
    </row>
    <row r="6" spans="1:10" ht="15">
      <c r="A6" t="s">
        <v>2</v>
      </c>
      <c r="B6" s="2">
        <f>VLOOKUP($A6,'County Totals'!$A:$D,2,FALSE)</f>
        <v>285.55899999999997</v>
      </c>
      <c r="C6" s="2">
        <f>VLOOKUP($A6,'County Totals'!$A:$D,3,FALSE)</f>
        <v>529</v>
      </c>
      <c r="D6" s="2">
        <f>VLOOKUP($A6,'County Totals'!$A:$D,4,FALSE)</f>
        <v>151139.74200000017</v>
      </c>
      <c r="E6" s="4">
        <v>1</v>
      </c>
      <c r="F6" s="4">
        <v>55</v>
      </c>
      <c r="G6" s="4">
        <v>155</v>
      </c>
      <c r="H6" s="3">
        <f t="shared" si="1"/>
        <v>0.5619402661764168</v>
      </c>
      <c r="I6" s="3">
        <f>SUM(E6:F6)/SUM('County Totals'!E5:F5)</f>
        <v>0.28865979381443296</v>
      </c>
      <c r="J6">
        <f t="shared" si="0"/>
        <v>52</v>
      </c>
    </row>
    <row r="7" spans="1:10" ht="15">
      <c r="A7" t="s">
        <v>3</v>
      </c>
      <c r="B7" s="2">
        <f>VLOOKUP($A7,'County Totals'!$A:$D,2,FALSE)</f>
        <v>358.51900000000006</v>
      </c>
      <c r="C7" s="2">
        <f>VLOOKUP($A7,'County Totals'!$A:$D,3,FALSE)</f>
        <v>636</v>
      </c>
      <c r="D7" s="2">
        <f>VLOOKUP($A7,'County Totals'!$A:$D,4,FALSE)</f>
        <v>228148.01299999998</v>
      </c>
      <c r="E7" s="4">
        <v>5</v>
      </c>
      <c r="F7" s="4">
        <v>119</v>
      </c>
      <c r="G7" s="4">
        <v>322</v>
      </c>
      <c r="H7" s="3">
        <f t="shared" si="1"/>
        <v>0.7733503958431738</v>
      </c>
      <c r="I7" s="3">
        <f>SUM(E7:F7)/SUM('County Totals'!E6:F6)</f>
        <v>0.3803680981595092</v>
      </c>
      <c r="J7">
        <f t="shared" si="0"/>
        <v>70</v>
      </c>
    </row>
    <row r="8" spans="1:10" ht="15">
      <c r="A8" t="s">
        <v>4</v>
      </c>
      <c r="B8" s="2">
        <f>VLOOKUP($A8,'County Totals'!$A:$D,2,FALSE)</f>
        <v>363.18499999999983</v>
      </c>
      <c r="C8" s="2">
        <f>VLOOKUP($A8,'County Totals'!$A:$D,3,FALSE)</f>
        <v>366</v>
      </c>
      <c r="D8" s="2">
        <f>VLOOKUP($A8,'County Totals'!$A:$D,4,FALSE)</f>
        <v>133042.99000000005</v>
      </c>
      <c r="E8" s="4">
        <v>2</v>
      </c>
      <c r="F8" s="4">
        <v>85</v>
      </c>
      <c r="G8" s="4">
        <v>264</v>
      </c>
      <c r="H8" s="3">
        <f t="shared" si="1"/>
        <v>1.0872991823663563</v>
      </c>
      <c r="I8" s="3">
        <f>SUM(E8:F8)/SUM('County Totals'!E7:F7)</f>
        <v>0.4484536082474227</v>
      </c>
      <c r="J8">
        <f t="shared" si="0"/>
        <v>78</v>
      </c>
    </row>
    <row r="9" spans="1:10" ht="15">
      <c r="A9" t="s">
        <v>5</v>
      </c>
      <c r="B9" s="2">
        <f>VLOOKUP($A9,'County Totals'!$A:$D,2,FALSE)</f>
        <v>357.75300000000016</v>
      </c>
      <c r="C9" s="2">
        <f>VLOOKUP($A9,'County Totals'!$A:$D,3,FALSE)</f>
        <v>787</v>
      </c>
      <c r="D9" s="2">
        <f>VLOOKUP($A9,'County Totals'!$A:$D,4,FALSE)</f>
        <v>281631.36699999997</v>
      </c>
      <c r="E9" s="4">
        <v>0</v>
      </c>
      <c r="F9" s="4">
        <v>54</v>
      </c>
      <c r="G9" s="4">
        <v>108</v>
      </c>
      <c r="H9" s="3">
        <f t="shared" si="1"/>
        <v>0.2101260339789524</v>
      </c>
      <c r="I9" s="3">
        <f>SUM(E9:F9)/SUM('County Totals'!E8:F8)</f>
        <v>0.3</v>
      </c>
      <c r="J9">
        <f t="shared" si="0"/>
        <v>4</v>
      </c>
    </row>
    <row r="10" spans="1:10" ht="15">
      <c r="A10" t="s">
        <v>6</v>
      </c>
      <c r="B10" s="2">
        <f>VLOOKUP($A10,'County Totals'!$A:$D,2,FALSE)</f>
        <v>309.25</v>
      </c>
      <c r="C10" s="2">
        <f>VLOOKUP($A10,'County Totals'!$A:$D,3,FALSE)</f>
        <v>670</v>
      </c>
      <c r="D10" s="2">
        <f>VLOOKUP($A10,'County Totals'!$A:$D,4,FALSE)</f>
        <v>207062.1750000001</v>
      </c>
      <c r="E10" s="4">
        <v>4</v>
      </c>
      <c r="F10" s="4">
        <v>123</v>
      </c>
      <c r="G10" s="4">
        <v>439</v>
      </c>
      <c r="H10" s="3">
        <f t="shared" si="1"/>
        <v>1.161718431700427</v>
      </c>
      <c r="I10" s="3">
        <f>SUM(E10:F10)/SUM('County Totals'!E9:F9)</f>
        <v>0.43944636678200694</v>
      </c>
      <c r="J10">
        <f t="shared" si="0"/>
        <v>82</v>
      </c>
    </row>
    <row r="11" spans="1:10" ht="15">
      <c r="A11" t="s">
        <v>7</v>
      </c>
      <c r="B11" s="2">
        <f>VLOOKUP($A11,'County Totals'!$A:$D,2,FALSE)</f>
        <v>332.949</v>
      </c>
      <c r="C11" s="2">
        <f>VLOOKUP($A11,'County Totals'!$A:$D,3,FALSE)</f>
        <v>603</v>
      </c>
      <c r="D11" s="2">
        <f>VLOOKUP($A11,'County Totals'!$A:$D,4,FALSE)</f>
        <v>200604.25500000012</v>
      </c>
      <c r="E11" s="4">
        <v>2</v>
      </c>
      <c r="F11" s="4">
        <v>102</v>
      </c>
      <c r="G11" s="4">
        <v>294</v>
      </c>
      <c r="H11" s="3">
        <f t="shared" si="1"/>
        <v>0.8030532074753788</v>
      </c>
      <c r="I11" s="3">
        <f>SUM(E11:F11)/SUM('County Totals'!E10:F10)</f>
        <v>0.34210526315789475</v>
      </c>
      <c r="J11">
        <f t="shared" si="0"/>
        <v>71</v>
      </c>
    </row>
    <row r="12" spans="1:10" ht="15">
      <c r="A12" t="s">
        <v>8</v>
      </c>
      <c r="B12" s="2">
        <f>VLOOKUP($A12,'County Totals'!$A:$D,2,FALSE)</f>
        <v>267.0160000000001</v>
      </c>
      <c r="C12" s="2">
        <f>VLOOKUP($A12,'County Totals'!$A:$D,3,FALSE)</f>
        <v>4086</v>
      </c>
      <c r="D12" s="2">
        <f>VLOOKUP($A12,'County Totals'!$A:$D,4,FALSE)</f>
        <v>1090917.9510000004</v>
      </c>
      <c r="E12" s="4">
        <v>10</v>
      </c>
      <c r="F12" s="4">
        <v>187</v>
      </c>
      <c r="G12" s="4">
        <v>496</v>
      </c>
      <c r="H12" s="3">
        <f t="shared" si="1"/>
        <v>0.2491303967165246</v>
      </c>
      <c r="I12" s="3">
        <f>SUM(E12:F12)/SUM('County Totals'!E11:F11)</f>
        <v>0.20040691759918616</v>
      </c>
      <c r="J12">
        <f t="shared" si="0"/>
        <v>9</v>
      </c>
    </row>
    <row r="13" spans="1:10" ht="15">
      <c r="A13" t="s">
        <v>9</v>
      </c>
      <c r="B13" s="2">
        <f>VLOOKUP($A13,'County Totals'!$A:$D,2,FALSE)</f>
        <v>306.0599999999999</v>
      </c>
      <c r="C13" s="2">
        <f>VLOOKUP($A13,'County Totals'!$A:$D,3,FALSE)</f>
        <v>513</v>
      </c>
      <c r="D13" s="2">
        <f>VLOOKUP($A13,'County Totals'!$A:$D,4,FALSE)</f>
        <v>157133.74300000007</v>
      </c>
      <c r="E13" s="4">
        <v>3</v>
      </c>
      <c r="F13" s="4">
        <v>49</v>
      </c>
      <c r="G13" s="4">
        <v>163</v>
      </c>
      <c r="H13" s="3">
        <f t="shared" si="1"/>
        <v>0.5684015844588558</v>
      </c>
      <c r="I13" s="3">
        <f>SUM(E13:F13)/SUM('County Totals'!E12:F12)</f>
        <v>0.3880597014925373</v>
      </c>
      <c r="J13">
        <f t="shared" si="0"/>
        <v>54</v>
      </c>
    </row>
    <row r="14" spans="1:10" ht="15">
      <c r="A14" t="s">
        <v>10</v>
      </c>
      <c r="B14" s="2">
        <f>VLOOKUP($A14,'County Totals'!$A:$D,2,FALSE)</f>
        <v>239.03000000000014</v>
      </c>
      <c r="C14" s="2">
        <f>VLOOKUP($A14,'County Totals'!$A:$D,3,FALSE)</f>
        <v>546</v>
      </c>
      <c r="D14" s="2">
        <f>VLOOKUP($A14,'County Totals'!$A:$D,4,FALSE)</f>
        <v>130604.98699999995</v>
      </c>
      <c r="E14" s="4">
        <v>4</v>
      </c>
      <c r="F14" s="4">
        <v>49</v>
      </c>
      <c r="G14" s="4">
        <v>143</v>
      </c>
      <c r="H14" s="3">
        <f t="shared" si="1"/>
        <v>0.5999477216253747</v>
      </c>
      <c r="I14" s="3">
        <f>SUM(E14:F14)/SUM('County Totals'!E13:F13)</f>
        <v>0.34868421052631576</v>
      </c>
      <c r="J14">
        <f t="shared" si="0"/>
        <v>61</v>
      </c>
    </row>
    <row r="15" spans="1:10" ht="15">
      <c r="A15" t="s">
        <v>11</v>
      </c>
      <c r="B15" s="2">
        <f>VLOOKUP($A15,'County Totals'!$A:$D,2,FALSE)</f>
        <v>306.735</v>
      </c>
      <c r="C15" s="2">
        <f>VLOOKUP($A15,'County Totals'!$A:$D,3,FALSE)</f>
        <v>1867</v>
      </c>
      <c r="D15" s="2">
        <f>VLOOKUP($A15,'County Totals'!$A:$D,4,FALSE)</f>
        <v>572619.2000000002</v>
      </c>
      <c r="E15" s="4">
        <v>11</v>
      </c>
      <c r="F15" s="4">
        <v>126</v>
      </c>
      <c r="G15" s="4">
        <v>404</v>
      </c>
      <c r="H15" s="3">
        <f t="shared" si="1"/>
        <v>0.3865917576876545</v>
      </c>
      <c r="I15" s="3">
        <f>SUM(E15:F15)/SUM('County Totals'!E14:F14)</f>
        <v>0.2424778761061947</v>
      </c>
      <c r="J15">
        <f t="shared" si="0"/>
        <v>33</v>
      </c>
    </row>
    <row r="16" spans="1:10" ht="15">
      <c r="A16" t="s">
        <v>12</v>
      </c>
      <c r="B16" s="2">
        <f>VLOOKUP($A16,'County Totals'!$A:$D,2,FALSE)</f>
        <v>384.98599999999965</v>
      </c>
      <c r="C16" s="2">
        <f>VLOOKUP($A16,'County Totals'!$A:$D,3,FALSE)</f>
        <v>2931</v>
      </c>
      <c r="D16" s="2">
        <f>VLOOKUP($A16,'County Totals'!$A:$D,4,FALSE)</f>
        <v>1128467.5830000003</v>
      </c>
      <c r="E16" s="4">
        <v>9</v>
      </c>
      <c r="F16" s="4">
        <v>415</v>
      </c>
      <c r="G16" s="4">
        <v>1412</v>
      </c>
      <c r="H16" s="3">
        <f t="shared" si="1"/>
        <v>0.6856188354831865</v>
      </c>
      <c r="I16" s="3">
        <f>SUM(E16:F16)/SUM('County Totals'!E15:F15)</f>
        <v>0.22820236813778255</v>
      </c>
      <c r="J16">
        <f t="shared" si="0"/>
        <v>67</v>
      </c>
    </row>
    <row r="17" spans="1:10" ht="15">
      <c r="A17" t="s">
        <v>13</v>
      </c>
      <c r="B17" s="2">
        <f>VLOOKUP($A17,'County Totals'!$A:$D,2,FALSE)</f>
        <v>261.7250000000001</v>
      </c>
      <c r="C17" s="2">
        <f>VLOOKUP($A17,'County Totals'!$A:$D,3,FALSE)</f>
        <v>604</v>
      </c>
      <c r="D17" s="2">
        <f>VLOOKUP($A17,'County Totals'!$A:$D,4,FALSE)</f>
        <v>158125.797</v>
      </c>
      <c r="E17" s="4">
        <v>2</v>
      </c>
      <c r="F17" s="4">
        <v>66</v>
      </c>
      <c r="G17" s="4">
        <v>169</v>
      </c>
      <c r="H17" s="3">
        <f t="shared" si="1"/>
        <v>0.5856270228065786</v>
      </c>
      <c r="I17" s="3">
        <f>SUM(E17:F17)/SUM('County Totals'!E16:F16)</f>
        <v>0.384180790960452</v>
      </c>
      <c r="J17">
        <f t="shared" si="0"/>
        <v>60</v>
      </c>
    </row>
    <row r="18" spans="1:10" ht="15">
      <c r="A18" t="s">
        <v>14</v>
      </c>
      <c r="B18" s="2">
        <f>VLOOKUP($A18,'County Totals'!$A:$D,2,FALSE)</f>
        <v>168.39000000000004</v>
      </c>
      <c r="C18" s="2">
        <f>VLOOKUP($A18,'County Totals'!$A:$D,3,FALSE)</f>
        <v>1462</v>
      </c>
      <c r="D18" s="2">
        <f>VLOOKUP($A18,'County Totals'!$A:$D,4,FALSE)</f>
        <v>246177.93000000008</v>
      </c>
      <c r="E18" s="4">
        <v>3</v>
      </c>
      <c r="F18" s="4">
        <v>88</v>
      </c>
      <c r="G18" s="4">
        <v>256</v>
      </c>
      <c r="H18" s="3">
        <f t="shared" si="1"/>
        <v>0.5698072633998494</v>
      </c>
      <c r="I18" s="3">
        <f>SUM(E18:F18)/SUM('County Totals'!E17:F17)</f>
        <v>0.3285198555956679</v>
      </c>
      <c r="J18">
        <f t="shared" si="0"/>
        <v>57</v>
      </c>
    </row>
    <row r="19" spans="1:10" ht="15">
      <c r="A19" t="s">
        <v>15</v>
      </c>
      <c r="B19" s="2">
        <f>VLOOKUP($A19,'County Totals'!$A:$D,2,FALSE)</f>
        <v>351.77500000000026</v>
      </c>
      <c r="C19" s="2">
        <f>VLOOKUP($A19,'County Totals'!$A:$D,3,FALSE)</f>
        <v>541</v>
      </c>
      <c r="D19" s="2">
        <f>VLOOKUP($A19,'County Totals'!$A:$D,4,FALSE)</f>
        <v>190137.4799999999</v>
      </c>
      <c r="E19" s="4">
        <v>2</v>
      </c>
      <c r="F19" s="4">
        <v>30</v>
      </c>
      <c r="G19" s="4">
        <v>112</v>
      </c>
      <c r="H19" s="3">
        <f t="shared" si="1"/>
        <v>0.32276573253047564</v>
      </c>
      <c r="I19" s="3">
        <f>SUM(E19:F19)/SUM('County Totals'!E18:F18)</f>
        <v>0.23703703703703705</v>
      </c>
      <c r="J19">
        <f t="shared" si="0"/>
        <v>22</v>
      </c>
    </row>
    <row r="20" spans="1:10" ht="15">
      <c r="A20" t="s">
        <v>16</v>
      </c>
      <c r="B20" s="2">
        <f>VLOOKUP($A20,'County Totals'!$A:$D,2,FALSE)</f>
        <v>238.10199999999986</v>
      </c>
      <c r="C20" s="2">
        <f>VLOOKUP($A20,'County Totals'!$A:$D,3,FALSE)</f>
        <v>657</v>
      </c>
      <c r="D20" s="2">
        <f>VLOOKUP($A20,'County Totals'!$A:$D,4,FALSE)</f>
        <v>156525.97499999998</v>
      </c>
      <c r="E20" s="4">
        <v>0</v>
      </c>
      <c r="F20" s="4">
        <v>47</v>
      </c>
      <c r="G20" s="4">
        <v>129</v>
      </c>
      <c r="H20" s="3">
        <f t="shared" si="1"/>
        <v>0.4515859524711431</v>
      </c>
      <c r="I20" s="3">
        <f>SUM(E20:F20)/SUM('County Totals'!E19:F19)</f>
        <v>0.3357142857142857</v>
      </c>
      <c r="J20">
        <f t="shared" si="0"/>
        <v>39</v>
      </c>
    </row>
    <row r="21" spans="1:10" ht="15">
      <c r="A21" t="s">
        <v>17</v>
      </c>
      <c r="B21" s="2">
        <f>VLOOKUP($A21,'County Totals'!$A:$D,2,FALSE)</f>
        <v>22.090000000000003</v>
      </c>
      <c r="C21" s="2">
        <f>VLOOKUP($A21,'County Totals'!$A:$D,3,FALSE)</f>
        <v>4927</v>
      </c>
      <c r="D21" s="2">
        <f>VLOOKUP($A21,'County Totals'!$A:$D,4,FALSE)</f>
        <v>108833.01999999997</v>
      </c>
      <c r="E21" s="4">
        <v>0</v>
      </c>
      <c r="F21" s="4">
        <v>18</v>
      </c>
      <c r="G21" s="4">
        <v>50</v>
      </c>
      <c r="H21" s="3">
        <f t="shared" si="1"/>
        <v>0.25173665376530585</v>
      </c>
      <c r="I21" s="3">
        <f>SUM(E21:F21)/SUM('County Totals'!E20:F20)</f>
        <v>0.1875</v>
      </c>
      <c r="J21">
        <f t="shared" si="0"/>
        <v>11</v>
      </c>
    </row>
    <row r="22" spans="1:10" ht="15">
      <c r="A22" t="s">
        <v>18</v>
      </c>
      <c r="B22" s="2">
        <f>VLOOKUP($A22,'County Totals'!$A:$D,2,FALSE)</f>
        <v>539.4259999999997</v>
      </c>
      <c r="C22" s="2">
        <f>VLOOKUP($A22,'County Totals'!$A:$D,3,FALSE)</f>
        <v>504</v>
      </c>
      <c r="D22" s="2">
        <f>VLOOKUP($A22,'County Totals'!$A:$D,4,FALSE)</f>
        <v>271847.5880000003</v>
      </c>
      <c r="E22" s="4">
        <v>4</v>
      </c>
      <c r="F22" s="4">
        <v>62</v>
      </c>
      <c r="G22" s="4">
        <v>234</v>
      </c>
      <c r="H22" s="3">
        <f t="shared" si="1"/>
        <v>0.4716583252605193</v>
      </c>
      <c r="I22" s="3">
        <f>SUM(E22:F22)/SUM('County Totals'!E21:F21)</f>
        <v>0.27848101265822783</v>
      </c>
      <c r="J22">
        <f t="shared" si="0"/>
        <v>42</v>
      </c>
    </row>
    <row r="23" spans="1:10" ht="15">
      <c r="A23" t="s">
        <v>19</v>
      </c>
      <c r="B23" s="2">
        <f>VLOOKUP($A23,'County Totals'!$A:$D,2,FALSE)</f>
        <v>338.45000000000005</v>
      </c>
      <c r="C23" s="2">
        <f>VLOOKUP($A23,'County Totals'!$A:$D,3,FALSE)</f>
        <v>569</v>
      </c>
      <c r="D23" s="2">
        <f>VLOOKUP($A23,'County Totals'!$A:$D,4,FALSE)</f>
        <v>192412.26600000015</v>
      </c>
      <c r="E23" s="4">
        <v>4</v>
      </c>
      <c r="F23" s="4">
        <v>29</v>
      </c>
      <c r="G23" s="4">
        <v>103</v>
      </c>
      <c r="H23" s="3">
        <f t="shared" si="1"/>
        <v>0.2933199495939802</v>
      </c>
      <c r="I23" s="3">
        <f>SUM(E23:F23)/SUM('County Totals'!E22:F22)</f>
        <v>0.17277486910994763</v>
      </c>
      <c r="J23">
        <f t="shared" si="0"/>
        <v>17</v>
      </c>
    </row>
    <row r="24" spans="1:10" ht="15">
      <c r="A24" t="s">
        <v>20</v>
      </c>
      <c r="B24" s="2">
        <f>VLOOKUP($A24,'County Totals'!$A:$D,2,FALSE)</f>
        <v>343.75400000000036</v>
      </c>
      <c r="C24" s="2">
        <f>VLOOKUP($A24,'County Totals'!$A:$D,3,FALSE)</f>
        <v>2746</v>
      </c>
      <c r="D24" s="2">
        <f>VLOOKUP($A24,'County Totals'!$A:$D,4,FALSE)</f>
        <v>943838.3889999997</v>
      </c>
      <c r="E24" s="4">
        <v>4</v>
      </c>
      <c r="F24" s="4">
        <v>110</v>
      </c>
      <c r="G24" s="4">
        <v>328</v>
      </c>
      <c r="H24" s="3">
        <f t="shared" si="1"/>
        <v>0.1904203404861299</v>
      </c>
      <c r="I24" s="3">
        <f>SUM(E24:F24)/SUM('County Totals'!E23:F23)</f>
        <v>0.1446700507614213</v>
      </c>
      <c r="J24">
        <f t="shared" si="0"/>
        <v>2</v>
      </c>
    </row>
    <row r="25" spans="1:10" ht="15">
      <c r="A25" t="s">
        <v>21</v>
      </c>
      <c r="B25" s="2">
        <f>VLOOKUP($A25,'County Totals'!$A:$D,2,FALSE)</f>
        <v>140.72399999999993</v>
      </c>
      <c r="C25" s="2">
        <f>VLOOKUP($A25,'County Totals'!$A:$D,3,FALSE)</f>
        <v>1857</v>
      </c>
      <c r="D25" s="2">
        <f>VLOOKUP($A25,'County Totals'!$A:$D,4,FALSE)</f>
        <v>261381.41000000012</v>
      </c>
      <c r="E25" s="4">
        <v>4</v>
      </c>
      <c r="F25" s="4">
        <v>53</v>
      </c>
      <c r="G25" s="4">
        <v>159</v>
      </c>
      <c r="H25" s="3">
        <f t="shared" si="1"/>
        <v>0.3333186077434996</v>
      </c>
      <c r="I25" s="3">
        <f>SUM(E25:F25)/SUM('County Totals'!E24:F24)</f>
        <v>0.17378048780487804</v>
      </c>
      <c r="J25">
        <f t="shared" si="0"/>
        <v>26</v>
      </c>
    </row>
    <row r="26" spans="1:10" ht="15">
      <c r="A26" t="s">
        <v>22</v>
      </c>
      <c r="B26" s="2">
        <f>VLOOKUP($A26,'County Totals'!$A:$D,2,FALSE)</f>
        <v>367.4860000000001</v>
      </c>
      <c r="C26" s="2">
        <f>VLOOKUP($A26,'County Totals'!$A:$D,3,FALSE)</f>
        <v>1464</v>
      </c>
      <c r="D26" s="2">
        <f>VLOOKUP($A26,'County Totals'!$A:$D,4,FALSE)</f>
        <v>538066.0779999999</v>
      </c>
      <c r="E26" s="4">
        <v>10</v>
      </c>
      <c r="F26" s="4">
        <v>150</v>
      </c>
      <c r="G26" s="4">
        <v>346</v>
      </c>
      <c r="H26" s="3">
        <f t="shared" si="1"/>
        <v>0.352352710657018</v>
      </c>
      <c r="I26" s="3">
        <f>SUM(E26:F26)/SUM('County Totals'!E25:F25)</f>
        <v>0.24883359253499224</v>
      </c>
      <c r="J26">
        <f t="shared" si="0"/>
        <v>29</v>
      </c>
    </row>
    <row r="27" spans="1:10" ht="15">
      <c r="A27" t="s">
        <v>23</v>
      </c>
      <c r="B27" s="2">
        <f>VLOOKUP($A27,'County Totals'!$A:$D,2,FALSE)</f>
        <v>312.2939999999999</v>
      </c>
      <c r="C27" s="2">
        <f>VLOOKUP($A27,'County Totals'!$A:$D,3,FALSE)</f>
        <v>509</v>
      </c>
      <c r="D27" s="2">
        <f>VLOOKUP($A27,'County Totals'!$A:$D,4,FALSE)</f>
        <v>159072.99000000005</v>
      </c>
      <c r="E27" s="4">
        <v>2</v>
      </c>
      <c r="F27" s="4">
        <v>61</v>
      </c>
      <c r="G27" s="4">
        <v>167</v>
      </c>
      <c r="H27" s="3">
        <f t="shared" si="1"/>
        <v>0.5752507029324618</v>
      </c>
      <c r="I27" s="3">
        <f>SUM(E27:F27)/SUM('County Totals'!E26:F26)</f>
        <v>0.35195530726256985</v>
      </c>
      <c r="J27">
        <f t="shared" si="0"/>
        <v>58</v>
      </c>
    </row>
    <row r="28" spans="1:10" ht="15">
      <c r="A28" t="s">
        <v>24</v>
      </c>
      <c r="B28" s="2">
        <f>VLOOKUP($A28,'County Totals'!$A:$D,2,FALSE)</f>
        <v>266.10200000000003</v>
      </c>
      <c r="C28" s="2">
        <f>VLOOKUP($A28,'County Totals'!$A:$D,3,FALSE)</f>
        <v>5176</v>
      </c>
      <c r="D28" s="2">
        <f>VLOOKUP($A28,'County Totals'!$A:$D,4,FALSE)</f>
        <v>1377389.7329999988</v>
      </c>
      <c r="E28" s="4">
        <v>12</v>
      </c>
      <c r="F28" s="4">
        <v>193</v>
      </c>
      <c r="G28" s="4">
        <v>590</v>
      </c>
      <c r="H28" s="3">
        <f t="shared" si="1"/>
        <v>0.23471038260808422</v>
      </c>
      <c r="I28" s="3">
        <f>SUM(E28:F28)/SUM('County Totals'!E27:F27)</f>
        <v>0.09683514407179972</v>
      </c>
      <c r="J28">
        <f t="shared" si="0"/>
        <v>6</v>
      </c>
    </row>
    <row r="29" spans="1:10" ht="15">
      <c r="A29" t="s">
        <v>25</v>
      </c>
      <c r="B29" s="2">
        <f>VLOOKUP($A29,'County Totals'!$A:$D,2,FALSE)</f>
        <v>376.5069999999997</v>
      </c>
      <c r="C29" s="2">
        <f>VLOOKUP($A29,'County Totals'!$A:$D,3,FALSE)</f>
        <v>619</v>
      </c>
      <c r="D29" s="2">
        <f>VLOOKUP($A29,'County Totals'!$A:$D,4,FALSE)</f>
        <v>233138.67600000018</v>
      </c>
      <c r="E29" s="4">
        <v>4</v>
      </c>
      <c r="F29" s="4">
        <v>50</v>
      </c>
      <c r="G29" s="4">
        <v>163</v>
      </c>
      <c r="H29" s="3">
        <f t="shared" si="1"/>
        <v>0.38309846322173774</v>
      </c>
      <c r="I29" s="3">
        <f>SUM(E29:F29)/SUM('County Totals'!E28:F28)</f>
        <v>0.21862348178137653</v>
      </c>
      <c r="J29">
        <f t="shared" si="0"/>
        <v>31</v>
      </c>
    </row>
    <row r="30" spans="1:10" ht="15">
      <c r="A30" t="s">
        <v>26</v>
      </c>
      <c r="B30" s="2">
        <f>VLOOKUP($A30,'County Totals'!$A:$D,2,FALSE)</f>
        <v>454.75599999999986</v>
      </c>
      <c r="C30" s="2">
        <f>VLOOKUP($A30,'County Totals'!$A:$D,3,FALSE)</f>
        <v>332</v>
      </c>
      <c r="D30" s="2">
        <f>VLOOKUP($A30,'County Totals'!$A:$D,4,FALSE)</f>
        <v>150919.0630000001</v>
      </c>
      <c r="E30" s="4">
        <v>5</v>
      </c>
      <c r="F30" s="4">
        <v>69</v>
      </c>
      <c r="G30" s="4">
        <v>247</v>
      </c>
      <c r="H30" s="3">
        <f t="shared" si="1"/>
        <v>0.8967884047452942</v>
      </c>
      <c r="I30" s="3">
        <f>SUM(E30:F30)/SUM('County Totals'!E29:F29)</f>
        <v>0.35071090047393366</v>
      </c>
      <c r="J30">
        <f t="shared" si="0"/>
        <v>75</v>
      </c>
    </row>
    <row r="31" spans="1:10" ht="15">
      <c r="A31" t="s">
        <v>27</v>
      </c>
      <c r="B31" s="2">
        <f>VLOOKUP($A31,'County Totals'!$A:$D,2,FALSE)</f>
        <v>236.99300000000005</v>
      </c>
      <c r="C31" s="2">
        <f>VLOOKUP($A31,'County Totals'!$A:$D,3,FALSE)</f>
        <v>2814</v>
      </c>
      <c r="D31" s="2">
        <f>VLOOKUP($A31,'County Totals'!$A:$D,4,FALSE)</f>
        <v>667003.803</v>
      </c>
      <c r="E31" s="4">
        <v>3</v>
      </c>
      <c r="F31" s="4">
        <v>125</v>
      </c>
      <c r="G31" s="4">
        <v>350</v>
      </c>
      <c r="H31" s="3">
        <f t="shared" si="1"/>
        <v>0.28752582977073105</v>
      </c>
      <c r="I31" s="3">
        <f>SUM(E31:F31)/SUM('County Totals'!E30:F30)</f>
        <v>0.22857142857142856</v>
      </c>
      <c r="J31">
        <f t="shared" si="0"/>
        <v>16</v>
      </c>
    </row>
    <row r="32" spans="1:10" ht="15">
      <c r="A32" t="s">
        <v>28</v>
      </c>
      <c r="B32" s="2">
        <f>VLOOKUP($A32,'County Totals'!$A:$D,2,FALSE)</f>
        <v>323.4029999999999</v>
      </c>
      <c r="C32" s="2">
        <f>VLOOKUP($A32,'County Totals'!$A:$D,3,FALSE)</f>
        <v>1897</v>
      </c>
      <c r="D32" s="2">
        <f>VLOOKUP($A32,'County Totals'!$A:$D,4,FALSE)</f>
        <v>613507.4199999998</v>
      </c>
      <c r="E32" s="4">
        <v>3</v>
      </c>
      <c r="F32" s="4">
        <v>171</v>
      </c>
      <c r="G32" s="4">
        <v>474</v>
      </c>
      <c r="H32" s="3">
        <f t="shared" si="1"/>
        <v>0.4233461877237937</v>
      </c>
      <c r="I32" s="3">
        <f>SUM(E32:F32)/SUM('County Totals'!E31:F31)</f>
        <v>0.2169576059850374</v>
      </c>
      <c r="J32">
        <f t="shared" si="0"/>
        <v>37</v>
      </c>
    </row>
    <row r="33" spans="1:10" ht="15">
      <c r="A33" t="s">
        <v>29</v>
      </c>
      <c r="B33" s="2">
        <f>VLOOKUP($A33,'County Totals'!$A:$D,2,FALSE)</f>
        <v>403.624</v>
      </c>
      <c r="C33" s="2">
        <f>VLOOKUP($A33,'County Totals'!$A:$D,3,FALSE)</f>
        <v>421</v>
      </c>
      <c r="D33" s="2">
        <f>VLOOKUP($A33,'County Totals'!$A:$D,4,FALSE)</f>
        <v>169953.35699999993</v>
      </c>
      <c r="E33" s="4">
        <v>3</v>
      </c>
      <c r="F33" s="4">
        <v>70</v>
      </c>
      <c r="G33" s="4">
        <v>250</v>
      </c>
      <c r="H33" s="3">
        <f t="shared" si="1"/>
        <v>0.8060229217470714</v>
      </c>
      <c r="I33" s="3">
        <f>SUM(E33:F33)/SUM('County Totals'!E32:F32)</f>
        <v>0.33031674208144796</v>
      </c>
      <c r="J33">
        <f t="shared" si="0"/>
        <v>72</v>
      </c>
    </row>
    <row r="34" spans="1:10" ht="15">
      <c r="A34" t="s">
        <v>30</v>
      </c>
      <c r="B34" s="2">
        <f>VLOOKUP($A34,'County Totals'!$A:$D,2,FALSE)</f>
        <v>511.58099999999996</v>
      </c>
      <c r="C34" s="2">
        <f>VLOOKUP($A34,'County Totals'!$A:$D,3,FALSE)</f>
        <v>5190</v>
      </c>
      <c r="D34" s="2">
        <f>VLOOKUP($A34,'County Totals'!$A:$D,4,FALSE)</f>
        <v>2655262.417</v>
      </c>
      <c r="E34" s="4">
        <v>15</v>
      </c>
      <c r="F34" s="4">
        <v>675</v>
      </c>
      <c r="G34" s="4">
        <v>2115</v>
      </c>
      <c r="H34" s="3">
        <f t="shared" si="1"/>
        <v>0.43645558426515446</v>
      </c>
      <c r="I34" s="3">
        <f>SUM(E34:F34)/SUM('County Totals'!E33:F33)</f>
        <v>0.15228426395939088</v>
      </c>
      <c r="J34">
        <f t="shared" si="0"/>
        <v>38</v>
      </c>
    </row>
    <row r="35" spans="1:10" ht="15">
      <c r="A35" t="s">
        <v>31</v>
      </c>
      <c r="B35" s="2">
        <f>VLOOKUP($A35,'County Totals'!$A:$D,2,FALSE)</f>
        <v>385.3810000000001</v>
      </c>
      <c r="C35" s="2">
        <f>VLOOKUP($A35,'County Totals'!$A:$D,3,FALSE)</f>
        <v>872</v>
      </c>
      <c r="D35" s="2">
        <f>VLOOKUP($A35,'County Totals'!$A:$D,4,FALSE)</f>
        <v>335880.58599999995</v>
      </c>
      <c r="E35" s="4">
        <v>4</v>
      </c>
      <c r="F35" s="4">
        <v>42</v>
      </c>
      <c r="G35" s="4">
        <v>163</v>
      </c>
      <c r="H35" s="3">
        <f t="shared" si="1"/>
        <v>0.26591316145063143</v>
      </c>
      <c r="I35" s="3">
        <f>SUM(E35:F35)/SUM('County Totals'!E34:F34)</f>
        <v>0.2081447963800905</v>
      </c>
      <c r="J35">
        <f t="shared" si="0"/>
        <v>14</v>
      </c>
    </row>
    <row r="36" spans="1:10" ht="15">
      <c r="A36" t="s">
        <v>32</v>
      </c>
      <c r="B36" s="2">
        <f>VLOOKUP($A36,'County Totals'!$A:$D,2,FALSE)</f>
        <v>391.51800000000026</v>
      </c>
      <c r="C36" s="2">
        <f>VLOOKUP($A36,'County Totals'!$A:$D,3,FALSE)</f>
        <v>395</v>
      </c>
      <c r="D36" s="2">
        <f>VLOOKUP($A36,'County Totals'!$A:$D,4,FALSE)</f>
        <v>154609.23100000006</v>
      </c>
      <c r="E36" s="4">
        <v>2</v>
      </c>
      <c r="F36" s="4">
        <v>29</v>
      </c>
      <c r="G36" s="4">
        <v>90</v>
      </c>
      <c r="H36" s="3">
        <f t="shared" si="1"/>
        <v>0.31896587399203</v>
      </c>
      <c r="I36" s="3">
        <f>SUM(E36:F36)/SUM('County Totals'!E35:F35)</f>
        <v>0.2605042016806723</v>
      </c>
      <c r="J36">
        <f aca="true" t="shared" si="2" ref="J36:J67">_xlfn.RANK.AVG(H36,H$1:H$65536,1)</f>
        <v>21</v>
      </c>
    </row>
    <row r="37" spans="1:10" ht="15">
      <c r="A37" t="s">
        <v>33</v>
      </c>
      <c r="B37" s="2">
        <f>VLOOKUP($A37,'County Totals'!$A:$D,2,FALSE)</f>
        <v>265.9</v>
      </c>
      <c r="C37" s="2">
        <f>VLOOKUP($A37,'County Totals'!$A:$D,3,FALSE)</f>
        <v>300</v>
      </c>
      <c r="D37" s="2">
        <f>VLOOKUP($A37,'County Totals'!$A:$D,4,FALSE)</f>
        <v>79866.59999999998</v>
      </c>
      <c r="E37" s="4">
        <v>1</v>
      </c>
      <c r="F37" s="4">
        <v>38</v>
      </c>
      <c r="G37" s="4">
        <v>106</v>
      </c>
      <c r="H37" s="3">
        <f t="shared" si="1"/>
        <v>0.7272400700771279</v>
      </c>
      <c r="I37" s="3">
        <f>SUM(E37:F37)/SUM('County Totals'!E36:F36)</f>
        <v>0.47560975609756095</v>
      </c>
      <c r="J37">
        <f t="shared" si="2"/>
        <v>68</v>
      </c>
    </row>
    <row r="38" spans="1:10" ht="15">
      <c r="A38" t="s">
        <v>34</v>
      </c>
      <c r="B38" s="2">
        <f>VLOOKUP($A38,'County Totals'!$A:$D,2,FALSE)</f>
        <v>429.3439999999995</v>
      </c>
      <c r="C38" s="2">
        <f>VLOOKUP($A38,'County Totals'!$A:$D,3,FALSE)</f>
        <v>562</v>
      </c>
      <c r="D38" s="2">
        <f>VLOOKUP($A38,'County Totals'!$A:$D,4,FALSE)</f>
        <v>241343.573</v>
      </c>
      <c r="E38" s="4">
        <v>1</v>
      </c>
      <c r="F38" s="4">
        <v>45</v>
      </c>
      <c r="G38" s="4">
        <v>115</v>
      </c>
      <c r="H38" s="3">
        <f t="shared" si="1"/>
        <v>0.2610954078737244</v>
      </c>
      <c r="I38" s="3">
        <f>SUM(E38:F38)/SUM('County Totals'!E37:F37)</f>
        <v>0.2967741935483871</v>
      </c>
      <c r="J38">
        <f t="shared" si="2"/>
        <v>13</v>
      </c>
    </row>
    <row r="39" spans="1:10" ht="15">
      <c r="A39" t="s">
        <v>35</v>
      </c>
      <c r="B39" s="2">
        <f>VLOOKUP($A39,'County Totals'!$A:$D,2,FALSE)</f>
        <v>392.1030000000001</v>
      </c>
      <c r="C39" s="2">
        <f>VLOOKUP($A39,'County Totals'!$A:$D,3,FALSE)</f>
        <v>535</v>
      </c>
      <c r="D39" s="2">
        <f>VLOOKUP($A39,'County Totals'!$A:$D,4,FALSE)</f>
        <v>209634.95199999984</v>
      </c>
      <c r="E39" s="4">
        <v>2</v>
      </c>
      <c r="F39" s="4">
        <v>63</v>
      </c>
      <c r="G39" s="4">
        <v>184</v>
      </c>
      <c r="H39" s="3">
        <f t="shared" si="1"/>
        <v>0.4809404006647673</v>
      </c>
      <c r="I39" s="3">
        <f>SUM(E39:F39)/SUM('County Totals'!E38:F38)</f>
        <v>0.3651685393258427</v>
      </c>
      <c r="J39">
        <f t="shared" si="2"/>
        <v>44</v>
      </c>
    </row>
    <row r="40" spans="1:10" ht="15">
      <c r="A40" t="s">
        <v>36</v>
      </c>
      <c r="B40" s="2">
        <f>VLOOKUP($A40,'County Totals'!$A:$D,2,FALSE)</f>
        <v>212.22299999999998</v>
      </c>
      <c r="C40" s="2">
        <f>VLOOKUP($A40,'County Totals'!$A:$D,3,FALSE)</f>
        <v>416</v>
      </c>
      <c r="D40" s="2">
        <f>VLOOKUP($A40,'County Totals'!$A:$D,4,FALSE)</f>
        <v>88228.29099999994</v>
      </c>
      <c r="E40" s="4">
        <v>1</v>
      </c>
      <c r="F40" s="4">
        <v>53</v>
      </c>
      <c r="G40" s="4">
        <v>160</v>
      </c>
      <c r="H40" s="3">
        <f t="shared" si="1"/>
        <v>0.9936861734827481</v>
      </c>
      <c r="I40" s="3">
        <f>SUM(E40:F40)/SUM('County Totals'!E39:F39)</f>
        <v>0.3253012048192771</v>
      </c>
      <c r="J40">
        <f t="shared" si="2"/>
        <v>76</v>
      </c>
    </row>
    <row r="41" spans="1:10" ht="15">
      <c r="A41" t="s">
        <v>37</v>
      </c>
      <c r="B41" s="2">
        <f>VLOOKUP($A41,'County Totals'!$A:$D,2,FALSE)</f>
        <v>251.05400000000026</v>
      </c>
      <c r="C41" s="2">
        <f>VLOOKUP($A41,'County Totals'!$A:$D,3,FALSE)</f>
        <v>675</v>
      </c>
      <c r="D41" s="2">
        <f>VLOOKUP($A41,'County Totals'!$A:$D,4,FALSE)</f>
        <v>169534.74700000003</v>
      </c>
      <c r="E41" s="4">
        <v>3</v>
      </c>
      <c r="F41" s="4">
        <v>51</v>
      </c>
      <c r="G41" s="4">
        <v>187</v>
      </c>
      <c r="H41" s="3">
        <f t="shared" si="1"/>
        <v>0.6043938203692103</v>
      </c>
      <c r="I41" s="3">
        <f>SUM(E41:F41)/SUM('County Totals'!E40:F40)</f>
        <v>0.2918918918918919</v>
      </c>
      <c r="J41">
        <f t="shared" si="2"/>
        <v>62</v>
      </c>
    </row>
    <row r="42" spans="1:10" ht="15">
      <c r="A42" t="s">
        <v>38</v>
      </c>
      <c r="B42" s="2">
        <f>VLOOKUP($A42,'County Totals'!$A:$D,2,FALSE)</f>
        <v>231.55199999999982</v>
      </c>
      <c r="C42" s="2">
        <f>VLOOKUP($A42,'County Totals'!$A:$D,3,FALSE)</f>
        <v>725</v>
      </c>
      <c r="D42" s="2">
        <f>VLOOKUP($A42,'County Totals'!$A:$D,4,FALSE)</f>
        <v>167780.78999999983</v>
      </c>
      <c r="E42" s="4">
        <v>1</v>
      </c>
      <c r="F42" s="4">
        <v>58</v>
      </c>
      <c r="G42" s="4">
        <v>159</v>
      </c>
      <c r="H42" s="3">
        <f t="shared" si="1"/>
        <v>0.5192685507752882</v>
      </c>
      <c r="I42" s="3">
        <f>SUM(E42:F42)/SUM('County Totals'!E41:F41)</f>
        <v>0.3430232558139535</v>
      </c>
      <c r="J42">
        <f t="shared" si="2"/>
        <v>50</v>
      </c>
    </row>
    <row r="43" spans="1:10" ht="15">
      <c r="A43" t="s">
        <v>39</v>
      </c>
      <c r="B43" s="2">
        <f>VLOOKUP($A43,'County Totals'!$A:$D,2,FALSE)</f>
        <v>295.6529999999996</v>
      </c>
      <c r="C43" s="2">
        <f>VLOOKUP($A43,'County Totals'!$A:$D,3,FALSE)</f>
        <v>423</v>
      </c>
      <c r="D43" s="2">
        <f>VLOOKUP($A43,'County Totals'!$A:$D,4,FALSE)</f>
        <v>125171.09799999998</v>
      </c>
      <c r="E43" s="4">
        <v>3</v>
      </c>
      <c r="F43" s="4">
        <v>90</v>
      </c>
      <c r="G43" s="4">
        <v>291</v>
      </c>
      <c r="H43" s="3">
        <f t="shared" si="1"/>
        <v>1.273872781674573</v>
      </c>
      <c r="I43" s="3">
        <f>SUM(E43:F43)/SUM('County Totals'!E42:F42)</f>
        <v>0.4626865671641791</v>
      </c>
      <c r="J43">
        <f t="shared" si="2"/>
        <v>86</v>
      </c>
    </row>
    <row r="44" spans="1:10" ht="15">
      <c r="A44" t="s">
        <v>40</v>
      </c>
      <c r="B44" s="2">
        <f>VLOOKUP($A44,'County Totals'!$A:$D,2,FALSE)</f>
        <v>259.38899999999984</v>
      </c>
      <c r="C44" s="2">
        <f>VLOOKUP($A44,'County Totals'!$A:$D,3,FALSE)</f>
        <v>658</v>
      </c>
      <c r="D44" s="2">
        <f>VLOOKUP($A44,'County Totals'!$A:$D,4,FALSE)</f>
        <v>170561.17900000003</v>
      </c>
      <c r="E44" s="4">
        <v>2</v>
      </c>
      <c r="F44" s="4">
        <v>111</v>
      </c>
      <c r="G44" s="4">
        <v>326</v>
      </c>
      <c r="H44" s="3">
        <f t="shared" si="1"/>
        <v>1.0473082915679266</v>
      </c>
      <c r="I44" s="3">
        <f>SUM(E44:F44)/SUM('County Totals'!E43:F43)</f>
        <v>0.44140625</v>
      </c>
      <c r="J44">
        <f t="shared" si="2"/>
        <v>77</v>
      </c>
    </row>
    <row r="45" spans="1:10" ht="15">
      <c r="A45" t="s">
        <v>41</v>
      </c>
      <c r="B45" s="2">
        <f>VLOOKUP($A45,'County Totals'!$A:$D,2,FALSE)</f>
        <v>406.529</v>
      </c>
      <c r="C45" s="2">
        <f>VLOOKUP($A45,'County Totals'!$A:$D,3,FALSE)</f>
        <v>532</v>
      </c>
      <c r="D45" s="2">
        <f>VLOOKUP($A45,'County Totals'!$A:$D,4,FALSE)</f>
        <v>216075.06199999983</v>
      </c>
      <c r="E45" s="4">
        <v>2</v>
      </c>
      <c r="F45" s="4">
        <v>103</v>
      </c>
      <c r="G45" s="4">
        <v>295</v>
      </c>
      <c r="H45" s="3">
        <f t="shared" si="1"/>
        <v>0.748091122225102</v>
      </c>
      <c r="I45" s="3">
        <f>SUM(E45:F45)/SUM('County Totals'!E44:F44)</f>
        <v>0.38181818181818183</v>
      </c>
      <c r="J45">
        <f t="shared" si="2"/>
        <v>69</v>
      </c>
    </row>
    <row r="46" spans="1:10" ht="15">
      <c r="A46" t="s">
        <v>42</v>
      </c>
      <c r="B46" s="2">
        <f>VLOOKUP($A46,'County Totals'!$A:$D,2,FALSE)</f>
        <v>150.39800000000008</v>
      </c>
      <c r="C46" s="2">
        <f>VLOOKUP($A46,'County Totals'!$A:$D,3,FALSE)</f>
        <v>2468</v>
      </c>
      <c r="D46" s="2">
        <f>VLOOKUP($A46,'County Totals'!$A:$D,4,FALSE)</f>
        <v>371246.50199999986</v>
      </c>
      <c r="E46" s="4">
        <v>4</v>
      </c>
      <c r="F46" s="4">
        <v>60</v>
      </c>
      <c r="G46" s="4">
        <v>230</v>
      </c>
      <c r="H46" s="3">
        <f t="shared" si="1"/>
        <v>0.33947093529860123</v>
      </c>
      <c r="I46" s="3">
        <f>SUM(E46:F46)/SUM('County Totals'!E45:F45)</f>
        <v>0.19937694704049844</v>
      </c>
      <c r="J46">
        <f t="shared" si="2"/>
        <v>27</v>
      </c>
    </row>
    <row r="47" spans="1:10" ht="15">
      <c r="A47" t="s">
        <v>43</v>
      </c>
      <c r="B47" s="2">
        <f>VLOOKUP($A47,'County Totals'!$A:$D,2,FALSE)</f>
        <v>377.76599999999985</v>
      </c>
      <c r="C47" s="2">
        <f>VLOOKUP($A47,'County Totals'!$A:$D,3,FALSE)</f>
        <v>595</v>
      </c>
      <c r="D47" s="2">
        <f>VLOOKUP($A47,'County Totals'!$A:$D,4,FALSE)</f>
        <v>224731.72699999998</v>
      </c>
      <c r="E47" s="4">
        <v>1</v>
      </c>
      <c r="F47" s="4">
        <v>176</v>
      </c>
      <c r="G47" s="4">
        <v>510</v>
      </c>
      <c r="H47" s="3">
        <f t="shared" si="1"/>
        <v>1.2434917780635422</v>
      </c>
      <c r="I47" s="3">
        <f>SUM(E47:F47)/SUM('County Totals'!E46:F46)</f>
        <v>0.32123411978221417</v>
      </c>
      <c r="J47">
        <f t="shared" si="2"/>
        <v>85</v>
      </c>
    </row>
    <row r="48" spans="1:10" ht="15">
      <c r="A48" t="s">
        <v>44</v>
      </c>
      <c r="B48" s="2">
        <f>VLOOKUP($A48,'County Totals'!$A:$D,2,FALSE)</f>
        <v>426.6639999999997</v>
      </c>
      <c r="C48" s="2">
        <f>VLOOKUP($A48,'County Totals'!$A:$D,3,FALSE)</f>
        <v>1193</v>
      </c>
      <c r="D48" s="2">
        <f>VLOOKUP($A48,'County Totals'!$A:$D,4,FALSE)</f>
        <v>509171.8729999996</v>
      </c>
      <c r="E48" s="4">
        <v>4</v>
      </c>
      <c r="F48" s="4">
        <v>164</v>
      </c>
      <c r="G48" s="4">
        <v>476</v>
      </c>
      <c r="H48" s="3">
        <f t="shared" si="1"/>
        <v>0.5122473012334273</v>
      </c>
      <c r="I48" s="3">
        <f>SUM(E48:F48)/SUM('County Totals'!E47:F47)</f>
        <v>0.2781456953642384</v>
      </c>
      <c r="J48">
        <f t="shared" si="2"/>
        <v>47</v>
      </c>
    </row>
    <row r="49" spans="1:10" ht="15">
      <c r="A49" t="s">
        <v>45</v>
      </c>
      <c r="B49" s="2">
        <f>VLOOKUP($A49,'County Totals'!$A:$D,2,FALSE)</f>
        <v>371.706</v>
      </c>
      <c r="C49" s="2">
        <f>VLOOKUP($A49,'County Totals'!$A:$D,3,FALSE)</f>
        <v>604</v>
      </c>
      <c r="D49" s="2">
        <f>VLOOKUP($A49,'County Totals'!$A:$D,4,FALSE)</f>
        <v>224485.95300000015</v>
      </c>
      <c r="E49" s="4">
        <v>3</v>
      </c>
      <c r="F49" s="4">
        <v>98</v>
      </c>
      <c r="G49" s="4">
        <v>275</v>
      </c>
      <c r="H49" s="3">
        <f t="shared" si="1"/>
        <v>0.6712443673785201</v>
      </c>
      <c r="I49" s="3">
        <f>SUM(E49:F49)/SUM('County Totals'!E48:F48)</f>
        <v>0.4122448979591837</v>
      </c>
      <c r="J49">
        <f t="shared" si="2"/>
        <v>65</v>
      </c>
    </row>
    <row r="50" spans="1:10" ht="15">
      <c r="A50" t="s">
        <v>46</v>
      </c>
      <c r="B50" s="2">
        <f>VLOOKUP($A50,'County Totals'!$A:$D,2,FALSE)</f>
        <v>270.915</v>
      </c>
      <c r="C50" s="2">
        <f>VLOOKUP($A50,'County Totals'!$A:$D,3,FALSE)</f>
        <v>2264</v>
      </c>
      <c r="D50" s="2">
        <f>VLOOKUP($A50,'County Totals'!$A:$D,4,FALSE)</f>
        <v>613309.2959999999</v>
      </c>
      <c r="E50" s="4">
        <v>9</v>
      </c>
      <c r="F50" s="4">
        <v>133</v>
      </c>
      <c r="G50" s="4">
        <v>372</v>
      </c>
      <c r="H50" s="3">
        <f t="shared" si="1"/>
        <v>0.3323537043507591</v>
      </c>
      <c r="I50" s="3">
        <f>SUM(E50:F50)/SUM('County Totals'!E49:F49)</f>
        <v>0.2066957787481805</v>
      </c>
      <c r="J50">
        <f t="shared" si="2"/>
        <v>24</v>
      </c>
    </row>
    <row r="51" spans="1:10" ht="15">
      <c r="A51" t="s">
        <v>47</v>
      </c>
      <c r="B51" s="2">
        <f>VLOOKUP($A51,'County Totals'!$A:$D,2,FALSE)</f>
        <v>284.63499999999965</v>
      </c>
      <c r="C51" s="2">
        <f>VLOOKUP($A51,'County Totals'!$A:$D,3,FALSE)</f>
        <v>2679</v>
      </c>
      <c r="D51" s="2">
        <f>VLOOKUP($A51,'County Totals'!$A:$D,4,FALSE)</f>
        <v>762562.3349999996</v>
      </c>
      <c r="E51" s="4">
        <v>1</v>
      </c>
      <c r="F51" s="4">
        <v>104</v>
      </c>
      <c r="G51" s="4">
        <v>280</v>
      </c>
      <c r="H51" s="3">
        <f t="shared" si="1"/>
        <v>0.20119621766297527</v>
      </c>
      <c r="I51" s="3">
        <f>SUM(E51:F51)/SUM('County Totals'!E50:F50)</f>
        <v>0.08386581469648563</v>
      </c>
      <c r="J51">
        <f t="shared" si="2"/>
        <v>3</v>
      </c>
    </row>
    <row r="52" spans="1:10" ht="15">
      <c r="A52" t="s">
        <v>48</v>
      </c>
      <c r="B52" s="2">
        <f>VLOOKUP($A52,'County Totals'!$A:$D,2,FALSE)</f>
        <v>340.8449999999998</v>
      </c>
      <c r="C52" s="2">
        <f>VLOOKUP($A52,'County Totals'!$A:$D,3,FALSE)</f>
        <v>532</v>
      </c>
      <c r="D52" s="2">
        <f>VLOOKUP($A52,'County Totals'!$A:$D,4,FALSE)</f>
        <v>181232.68699999995</v>
      </c>
      <c r="E52" s="4">
        <v>3</v>
      </c>
      <c r="F52" s="4">
        <v>70</v>
      </c>
      <c r="G52" s="4">
        <v>188</v>
      </c>
      <c r="H52" s="3">
        <f t="shared" si="1"/>
        <v>0.5684057348337886</v>
      </c>
      <c r="I52" s="3">
        <f>SUM(E52:F52)/SUM('County Totals'!E51:F51)</f>
        <v>0.27137546468401486</v>
      </c>
      <c r="J52">
        <f t="shared" si="2"/>
        <v>55</v>
      </c>
    </row>
    <row r="53" spans="1:10" ht="15">
      <c r="A53" t="s">
        <v>49</v>
      </c>
      <c r="B53" s="2">
        <f>VLOOKUP($A53,'County Totals'!$A:$D,2,FALSE)</f>
        <v>492.018</v>
      </c>
      <c r="C53" s="2">
        <f>VLOOKUP($A53,'County Totals'!$A:$D,3,FALSE)</f>
        <v>2586</v>
      </c>
      <c r="D53" s="2">
        <f>VLOOKUP($A53,'County Totals'!$A:$D,4,FALSE)</f>
        <v>1272505.1010000007</v>
      </c>
      <c r="E53" s="4">
        <v>3</v>
      </c>
      <c r="F53" s="4">
        <v>169</v>
      </c>
      <c r="G53" s="4">
        <v>593</v>
      </c>
      <c r="H53" s="3">
        <f t="shared" si="1"/>
        <v>0.25534790123353296</v>
      </c>
      <c r="I53" s="3">
        <f>SUM(E53:F53)/SUM('County Totals'!E52:F52)</f>
        <v>0.12418772563176896</v>
      </c>
      <c r="J53">
        <f t="shared" si="2"/>
        <v>12</v>
      </c>
    </row>
    <row r="54" spans="1:10" ht="15">
      <c r="A54" t="s">
        <v>50</v>
      </c>
      <c r="B54" s="2">
        <f>VLOOKUP($A54,'County Totals'!$A:$D,2,FALSE)</f>
        <v>382.9020000000002</v>
      </c>
      <c r="C54" s="2">
        <f>VLOOKUP($A54,'County Totals'!$A:$D,3,FALSE)</f>
        <v>722</v>
      </c>
      <c r="D54" s="2">
        <f>VLOOKUP($A54,'County Totals'!$A:$D,4,FALSE)</f>
        <v>276461.727</v>
      </c>
      <c r="E54" s="4">
        <v>5</v>
      </c>
      <c r="F54" s="4">
        <v>64</v>
      </c>
      <c r="G54" s="4">
        <v>194</v>
      </c>
      <c r="H54" s="3">
        <f t="shared" si="1"/>
        <v>0.3845066404544803</v>
      </c>
      <c r="I54" s="3">
        <f>SUM(E54:F54)/SUM('County Totals'!E53:F53)</f>
        <v>0.2490974729241877</v>
      </c>
      <c r="J54">
        <f t="shared" si="2"/>
        <v>32</v>
      </c>
    </row>
    <row r="55" spans="1:10" ht="15">
      <c r="A55" t="s">
        <v>51</v>
      </c>
      <c r="B55" s="2">
        <f>VLOOKUP($A55,'County Totals'!$A:$D,2,FALSE)</f>
        <v>326.8430000000003</v>
      </c>
      <c r="C55" s="2">
        <f>VLOOKUP($A55,'County Totals'!$A:$D,3,FALSE)</f>
        <v>1842</v>
      </c>
      <c r="D55" s="2">
        <f>VLOOKUP($A55,'County Totals'!$A:$D,4,FALSE)</f>
        <v>602175.0560000002</v>
      </c>
      <c r="E55" s="4">
        <v>3</v>
      </c>
      <c r="F55" s="4">
        <v>137</v>
      </c>
      <c r="G55" s="4">
        <v>408</v>
      </c>
      <c r="H55" s="3">
        <f t="shared" si="1"/>
        <v>0.37125689881717117</v>
      </c>
      <c r="I55" s="3">
        <f>SUM(E55:F55)/SUM('County Totals'!E54:F54)</f>
        <v>0.19943019943019943</v>
      </c>
      <c r="J55">
        <f t="shared" si="2"/>
        <v>30</v>
      </c>
    </row>
    <row r="56" spans="1:10" ht="15">
      <c r="A56" t="s">
        <v>52</v>
      </c>
      <c r="B56" s="2">
        <f>VLOOKUP($A56,'County Totals'!$A:$D,2,FALSE)</f>
        <v>259.859</v>
      </c>
      <c r="C56" s="2">
        <f>VLOOKUP($A56,'County Totals'!$A:$D,3,FALSE)</f>
        <v>424</v>
      </c>
      <c r="D56" s="2">
        <f>VLOOKUP($A56,'County Totals'!$A:$D,4,FALSE)</f>
        <v>110273.73200000002</v>
      </c>
      <c r="E56" s="4">
        <v>4</v>
      </c>
      <c r="F56" s="4">
        <v>58</v>
      </c>
      <c r="G56" s="4">
        <v>136</v>
      </c>
      <c r="H56" s="3">
        <f t="shared" si="1"/>
        <v>0.6757778719705021</v>
      </c>
      <c r="I56" s="3">
        <f>SUM(E56:F56)/SUM('County Totals'!E55:F55)</f>
        <v>0.42758620689655175</v>
      </c>
      <c r="J56">
        <f t="shared" si="2"/>
        <v>66</v>
      </c>
    </row>
    <row r="57" spans="1:10" ht="15">
      <c r="A57" t="s">
        <v>53</v>
      </c>
      <c r="B57" s="2">
        <f>VLOOKUP($A57,'County Totals'!$A:$D,2,FALSE)</f>
        <v>394.0519999999995</v>
      </c>
      <c r="C57" s="2">
        <f>VLOOKUP($A57,'County Totals'!$A:$D,3,FALSE)</f>
        <v>456</v>
      </c>
      <c r="D57" s="2">
        <f>VLOOKUP($A57,'County Totals'!$A:$D,4,FALSE)</f>
        <v>179669.62799999982</v>
      </c>
      <c r="E57" s="4">
        <v>2</v>
      </c>
      <c r="F57" s="4">
        <v>38</v>
      </c>
      <c r="G57" s="4">
        <v>109</v>
      </c>
      <c r="H57" s="3">
        <f t="shared" si="1"/>
        <v>0.3324213895364682</v>
      </c>
      <c r="I57" s="3">
        <f>SUM(E57:F57)/SUM('County Totals'!E56:F56)</f>
        <v>0.26490066225165565</v>
      </c>
      <c r="J57">
        <f t="shared" si="2"/>
        <v>25</v>
      </c>
    </row>
    <row r="58" spans="1:10" ht="15">
      <c r="A58" t="s">
        <v>54</v>
      </c>
      <c r="B58" s="2">
        <f>VLOOKUP($A58,'County Totals'!$A:$D,2,FALSE)</f>
        <v>423.8410000000001</v>
      </c>
      <c r="C58" s="2">
        <f>VLOOKUP($A58,'County Totals'!$A:$D,3,FALSE)</f>
        <v>1168</v>
      </c>
      <c r="D58" s="2">
        <f>VLOOKUP($A58,'County Totals'!$A:$D,4,FALSE)</f>
        <v>494925.85700000025</v>
      </c>
      <c r="E58" s="4">
        <v>5</v>
      </c>
      <c r="F58" s="4">
        <v>85</v>
      </c>
      <c r="G58" s="4">
        <v>360</v>
      </c>
      <c r="H58" s="3">
        <f t="shared" si="1"/>
        <v>0.3985653026259298</v>
      </c>
      <c r="I58" s="3">
        <f>SUM(E58:F58)/SUM('County Totals'!E57:F57)</f>
        <v>0.22900763358778625</v>
      </c>
      <c r="J58">
        <f t="shared" si="2"/>
        <v>36</v>
      </c>
    </row>
    <row r="59" spans="1:10" ht="15">
      <c r="A59" t="s">
        <v>55</v>
      </c>
      <c r="B59" s="2">
        <f>VLOOKUP($A59,'County Totals'!$A:$D,2,FALSE)</f>
        <v>371.3799999999997</v>
      </c>
      <c r="C59" s="2">
        <f>VLOOKUP($A59,'County Totals'!$A:$D,3,FALSE)</f>
        <v>273</v>
      </c>
      <c r="D59" s="2">
        <f>VLOOKUP($A59,'County Totals'!$A:$D,4,FALSE)</f>
        <v>101391.44000000005</v>
      </c>
      <c r="E59" s="4">
        <v>1</v>
      </c>
      <c r="F59" s="4">
        <v>20</v>
      </c>
      <c r="G59" s="4">
        <v>91</v>
      </c>
      <c r="H59" s="3">
        <f t="shared" si="1"/>
        <v>0.4917872129898749</v>
      </c>
      <c r="I59" s="3">
        <f>SUM(E59:F59)/SUM('County Totals'!E58:F58)</f>
        <v>0.3559322033898305</v>
      </c>
      <c r="J59">
        <f t="shared" si="2"/>
        <v>45</v>
      </c>
    </row>
    <row r="60" spans="1:10" ht="15">
      <c r="A60" t="s">
        <v>56</v>
      </c>
      <c r="B60" s="2">
        <f>VLOOKUP($A60,'County Totals'!$A:$D,2,FALSE)</f>
        <v>320.80200000000013</v>
      </c>
      <c r="C60" s="2">
        <f>VLOOKUP($A60,'County Totals'!$A:$D,3,FALSE)</f>
        <v>3035</v>
      </c>
      <c r="D60" s="2">
        <f>VLOOKUP($A60,'County Totals'!$A:$D,4,FALSE)</f>
        <v>973713.8790000004</v>
      </c>
      <c r="E60" s="4">
        <v>9</v>
      </c>
      <c r="F60" s="4">
        <v>194</v>
      </c>
      <c r="G60" s="4">
        <v>538</v>
      </c>
      <c r="H60" s="3">
        <f t="shared" si="1"/>
        <v>0.30275271504879625</v>
      </c>
      <c r="I60" s="3">
        <f>SUM(E60:F60)/SUM('County Totals'!E59:F59)</f>
        <v>0.11613272311212815</v>
      </c>
      <c r="J60">
        <f t="shared" si="2"/>
        <v>19</v>
      </c>
    </row>
    <row r="61" spans="1:10" ht="15">
      <c r="A61" t="s">
        <v>57</v>
      </c>
      <c r="B61" s="2">
        <f>VLOOKUP($A61,'County Totals'!$A:$D,2,FALSE)</f>
        <v>343.43299999999994</v>
      </c>
      <c r="C61" s="2">
        <f>VLOOKUP($A61,'County Totals'!$A:$D,3,FALSE)</f>
        <v>299</v>
      </c>
      <c r="D61" s="2">
        <f>VLOOKUP($A61,'County Totals'!$A:$D,4,FALSE)</f>
        <v>102519.74400000006</v>
      </c>
      <c r="E61" s="4">
        <v>0</v>
      </c>
      <c r="F61" s="4">
        <v>17</v>
      </c>
      <c r="G61" s="4">
        <v>51</v>
      </c>
      <c r="H61" s="3">
        <f t="shared" si="1"/>
        <v>0.2725836447606818</v>
      </c>
      <c r="I61" s="3">
        <f>SUM(E61:F61)/SUM('County Totals'!E60:F60)</f>
        <v>0.37777777777777777</v>
      </c>
      <c r="J61">
        <f t="shared" si="2"/>
        <v>15</v>
      </c>
    </row>
    <row r="62" spans="1:10" ht="15">
      <c r="A62" t="s">
        <v>58</v>
      </c>
      <c r="B62" s="2">
        <f>VLOOKUP($A62,'County Totals'!$A:$D,2,FALSE)</f>
        <v>378.2799999999993</v>
      </c>
      <c r="C62" s="2">
        <f>VLOOKUP($A62,'County Totals'!$A:$D,3,FALSE)</f>
        <v>461</v>
      </c>
      <c r="D62" s="2">
        <f>VLOOKUP($A62,'County Totals'!$A:$D,4,FALSE)</f>
        <v>174200.20100000018</v>
      </c>
      <c r="E62" s="4">
        <v>2</v>
      </c>
      <c r="F62" s="4">
        <v>63</v>
      </c>
      <c r="G62" s="4">
        <v>184</v>
      </c>
      <c r="H62" s="3">
        <f t="shared" si="1"/>
        <v>0.5787703873442664</v>
      </c>
      <c r="I62" s="3">
        <f>SUM(E62:F62)/SUM('County Totals'!E61:F61)</f>
        <v>0.31100478468899523</v>
      </c>
      <c r="J62">
        <f t="shared" si="2"/>
        <v>59</v>
      </c>
    </row>
    <row r="63" spans="1:10" ht="15">
      <c r="A63" t="s">
        <v>59</v>
      </c>
      <c r="B63" s="2">
        <f>VLOOKUP($A63,'County Totals'!$A:$D,2,FALSE)</f>
        <v>528.2629999999999</v>
      </c>
      <c r="C63" s="2">
        <f>VLOOKUP($A63,'County Totals'!$A:$D,3,FALSE)</f>
        <v>556</v>
      </c>
      <c r="D63" s="2">
        <f>VLOOKUP($A63,'County Totals'!$A:$D,4,FALSE)</f>
        <v>293973.85599999985</v>
      </c>
      <c r="E63" s="4">
        <v>2</v>
      </c>
      <c r="F63" s="4">
        <v>230</v>
      </c>
      <c r="G63" s="4">
        <v>684</v>
      </c>
      <c r="H63" s="3">
        <f t="shared" si="1"/>
        <v>1.2749246672736279</v>
      </c>
      <c r="I63" s="3">
        <f>SUM(E63:F63)/SUM('County Totals'!E62:F62)</f>
        <v>0.4419047619047619</v>
      </c>
      <c r="J63">
        <f t="shared" si="2"/>
        <v>87</v>
      </c>
    </row>
    <row r="64" spans="1:10" ht="15">
      <c r="A64" t="s">
        <v>60</v>
      </c>
      <c r="B64" s="2">
        <f>VLOOKUP($A64,'County Totals'!$A:$D,2,FALSE)</f>
        <v>270.32</v>
      </c>
      <c r="C64" s="2">
        <f>VLOOKUP($A64,'County Totals'!$A:$D,3,FALSE)</f>
        <v>280</v>
      </c>
      <c r="D64" s="2">
        <f>VLOOKUP($A64,'County Totals'!$A:$D,4,FALSE)</f>
        <v>75571.63499999995</v>
      </c>
      <c r="E64" s="4">
        <v>1</v>
      </c>
      <c r="F64" s="4">
        <v>8</v>
      </c>
      <c r="G64" s="4">
        <v>23</v>
      </c>
      <c r="H64" s="3">
        <f t="shared" si="1"/>
        <v>0.16676547657103627</v>
      </c>
      <c r="I64" s="3">
        <f>SUM(E64:F64)/SUM('County Totals'!E63:F63)</f>
        <v>0.45</v>
      </c>
      <c r="J64">
        <f t="shared" si="2"/>
        <v>1</v>
      </c>
    </row>
    <row r="65" spans="1:10" ht="15">
      <c r="A65" t="s">
        <v>61</v>
      </c>
      <c r="B65" s="2">
        <f>VLOOKUP($A65,'County Totals'!$A:$D,2,FALSE)</f>
        <v>163.01399999999992</v>
      </c>
      <c r="C65" s="2">
        <f>VLOOKUP($A65,'County Totals'!$A:$D,3,FALSE)</f>
        <v>818</v>
      </c>
      <c r="D65" s="2">
        <f>VLOOKUP($A65,'County Totals'!$A:$D,4,FALSE)</f>
        <v>133401.51299999992</v>
      </c>
      <c r="E65" s="4">
        <v>2</v>
      </c>
      <c r="F65" s="4">
        <v>46</v>
      </c>
      <c r="G65" s="4">
        <v>126</v>
      </c>
      <c r="H65" s="3">
        <f t="shared" si="1"/>
        <v>0.5175435745650876</v>
      </c>
      <c r="I65" s="3">
        <f>SUM(E65:F65)/SUM('County Totals'!E64:F64)</f>
        <v>0.2513089005235602</v>
      </c>
      <c r="J65">
        <f t="shared" si="2"/>
        <v>48</v>
      </c>
    </row>
    <row r="66" spans="1:10" ht="15">
      <c r="A66" t="s">
        <v>62</v>
      </c>
      <c r="B66" s="2">
        <f>VLOOKUP($A66,'County Totals'!$A:$D,2,FALSE)</f>
        <v>331.522</v>
      </c>
      <c r="C66" s="2">
        <f>VLOOKUP($A66,'County Totals'!$A:$D,3,FALSE)</f>
        <v>410</v>
      </c>
      <c r="D66" s="2">
        <f>VLOOKUP($A66,'County Totals'!$A:$D,4,FALSE)</f>
        <v>136048.85299999997</v>
      </c>
      <c r="E66" s="4">
        <v>1</v>
      </c>
      <c r="F66" s="4">
        <v>46</v>
      </c>
      <c r="G66" s="4">
        <v>97</v>
      </c>
      <c r="H66" s="3">
        <f t="shared" si="1"/>
        <v>0.3906735246897441</v>
      </c>
      <c r="I66" s="3">
        <f>SUM(E66:F66)/SUM('County Totals'!E65:F65)</f>
        <v>0.46534653465346537</v>
      </c>
      <c r="J66">
        <f t="shared" si="2"/>
        <v>34</v>
      </c>
    </row>
    <row r="67" spans="1:10" ht="15">
      <c r="A67" t="s">
        <v>63</v>
      </c>
      <c r="B67" s="2">
        <f>VLOOKUP($A67,'County Totals'!$A:$D,2,FALSE)</f>
        <v>325.76700000000005</v>
      </c>
      <c r="C67" s="2">
        <f>VLOOKUP($A67,'County Totals'!$A:$D,3,FALSE)</f>
        <v>397</v>
      </c>
      <c r="D67" s="2">
        <f>VLOOKUP($A67,'County Totals'!$A:$D,4,FALSE)</f>
        <v>129480.42100000007</v>
      </c>
      <c r="E67" s="4">
        <v>2</v>
      </c>
      <c r="F67" s="4">
        <v>110</v>
      </c>
      <c r="G67" s="4">
        <v>267</v>
      </c>
      <c r="H67" s="3">
        <f t="shared" si="1"/>
        <v>1.1299111381713347</v>
      </c>
      <c r="I67" s="3">
        <f>SUM(E67:F67)/SUM('County Totals'!E66:F66)</f>
        <v>0.417910447761194</v>
      </c>
      <c r="J67">
        <f t="shared" si="2"/>
        <v>79</v>
      </c>
    </row>
    <row r="68" spans="1:10" ht="15">
      <c r="A68" t="s">
        <v>64</v>
      </c>
      <c r="B68" s="2">
        <f>VLOOKUP($A68,'County Totals'!$A:$D,2,FALSE)</f>
        <v>232.25199999999992</v>
      </c>
      <c r="C68" s="2">
        <f>VLOOKUP($A68,'County Totals'!$A:$D,3,FALSE)</f>
        <v>954</v>
      </c>
      <c r="D68" s="2">
        <f>VLOOKUP($A68,'County Totals'!$A:$D,4,FALSE)</f>
        <v>221572.382</v>
      </c>
      <c r="E68" s="4">
        <v>9</v>
      </c>
      <c r="F68" s="4">
        <v>84</v>
      </c>
      <c r="G68" s="4">
        <v>228</v>
      </c>
      <c r="H68" s="3">
        <f t="shared" si="1"/>
        <v>0.563840609202437</v>
      </c>
      <c r="I68" s="3">
        <f>SUM(E68:F68)/SUM('County Totals'!E67:F67)</f>
        <v>0.3079470198675497</v>
      </c>
      <c r="J68">
        <f aca="true" t="shared" si="3" ref="J68:J91">_xlfn.RANK.AVG(H68,H$1:H$65536,1)</f>
        <v>53</v>
      </c>
    </row>
    <row r="69" spans="1:10" ht="15">
      <c r="A69" t="s">
        <v>65</v>
      </c>
      <c r="B69" s="2">
        <f>VLOOKUP($A69,'County Totals'!$A:$D,2,FALSE)</f>
        <v>329.07100000000014</v>
      </c>
      <c r="C69" s="2">
        <f>VLOOKUP($A69,'County Totals'!$A:$D,3,FALSE)</f>
        <v>422</v>
      </c>
      <c r="D69" s="2">
        <f>VLOOKUP($A69,'County Totals'!$A:$D,4,FALSE)</f>
        <v>138883.2069999999</v>
      </c>
      <c r="E69" s="4">
        <v>3</v>
      </c>
      <c r="F69" s="4">
        <v>110</v>
      </c>
      <c r="G69" s="4">
        <v>294</v>
      </c>
      <c r="H69" s="3">
        <f aca="true" t="shared" si="4" ref="H69:H91">G69*1000000/(5*365*$B69*$D69/$B69)</f>
        <v>1.1599378635529274</v>
      </c>
      <c r="I69" s="3">
        <f>SUM(E69:F69)/SUM('County Totals'!E68:F68)</f>
        <v>0.4312977099236641</v>
      </c>
      <c r="J69">
        <f t="shared" si="3"/>
        <v>81</v>
      </c>
    </row>
    <row r="70" spans="1:10" ht="15">
      <c r="A70" t="s">
        <v>66</v>
      </c>
      <c r="B70" s="2">
        <f>VLOOKUP($A70,'County Totals'!$A:$D,2,FALSE)</f>
        <v>369.7760000000001</v>
      </c>
      <c r="C70" s="2">
        <f>VLOOKUP($A70,'County Totals'!$A:$D,3,FALSE)</f>
        <v>1481</v>
      </c>
      <c r="D70" s="2">
        <f>VLOOKUP($A70,'County Totals'!$A:$D,4,FALSE)</f>
        <v>547701.4870000003</v>
      </c>
      <c r="E70" s="4">
        <v>0</v>
      </c>
      <c r="F70" s="4">
        <v>192</v>
      </c>
      <c r="G70" s="4">
        <v>542</v>
      </c>
      <c r="H70" s="3">
        <f t="shared" si="4"/>
        <v>0.5422411814081178</v>
      </c>
      <c r="I70" s="3">
        <f>SUM(E70:F70)/SUM('County Totals'!E69:F69)</f>
        <v>0.28111273792093705</v>
      </c>
      <c r="J70">
        <f t="shared" si="3"/>
        <v>51</v>
      </c>
    </row>
    <row r="71" spans="1:10" ht="15">
      <c r="A71" t="s">
        <v>67</v>
      </c>
      <c r="B71" s="2">
        <f>VLOOKUP($A71,'County Totals'!$A:$D,2,FALSE)</f>
        <v>266.814</v>
      </c>
      <c r="C71" s="2">
        <f>VLOOKUP($A71,'County Totals'!$A:$D,3,FALSE)</f>
        <v>631</v>
      </c>
      <c r="D71" s="2">
        <f>VLOOKUP($A71,'County Totals'!$A:$D,4,FALSE)</f>
        <v>168376.46300000013</v>
      </c>
      <c r="E71" s="4">
        <v>5</v>
      </c>
      <c r="F71" s="4">
        <v>59</v>
      </c>
      <c r="G71" s="4">
        <v>175</v>
      </c>
      <c r="H71" s="3">
        <f t="shared" si="4"/>
        <v>0.5695000907514256</v>
      </c>
      <c r="I71" s="3">
        <f>SUM(E71:F71)/SUM('County Totals'!E70:F70)</f>
        <v>0.3018867924528302</v>
      </c>
      <c r="J71">
        <f t="shared" si="3"/>
        <v>56</v>
      </c>
    </row>
    <row r="72" spans="1:10" ht="15">
      <c r="A72" t="s">
        <v>68</v>
      </c>
      <c r="B72" s="2">
        <f>VLOOKUP($A72,'County Totals'!$A:$D,2,FALSE)</f>
        <v>331.20699999999994</v>
      </c>
      <c r="C72" s="2">
        <f>VLOOKUP($A72,'County Totals'!$A:$D,3,FALSE)</f>
        <v>559</v>
      </c>
      <c r="D72" s="2">
        <f>VLOOKUP($A72,'County Totals'!$A:$D,4,FALSE)</f>
        <v>185255.758</v>
      </c>
      <c r="E72" s="4">
        <v>1</v>
      </c>
      <c r="F72" s="4">
        <v>31</v>
      </c>
      <c r="G72" s="4">
        <v>77</v>
      </c>
      <c r="H72" s="3">
        <f t="shared" si="4"/>
        <v>0.2277488229106369</v>
      </c>
      <c r="I72" s="3">
        <f>SUM(E72:F72)/SUM('County Totals'!E71:F71)</f>
        <v>0.2882882882882883</v>
      </c>
      <c r="J72">
        <f t="shared" si="3"/>
        <v>5</v>
      </c>
    </row>
    <row r="73" spans="1:10" ht="15">
      <c r="A73" t="s">
        <v>69</v>
      </c>
      <c r="B73" s="2">
        <f>VLOOKUP($A73,'County Totals'!$A:$D,2,FALSE)</f>
        <v>345.9329999999999</v>
      </c>
      <c r="C73" s="2">
        <f>VLOOKUP($A73,'County Totals'!$A:$D,3,FALSE)</f>
        <v>1084</v>
      </c>
      <c r="D73" s="2">
        <f>VLOOKUP($A73,'County Totals'!$A:$D,4,FALSE)</f>
        <v>374882.701</v>
      </c>
      <c r="E73" s="4">
        <v>3</v>
      </c>
      <c r="F73" s="4">
        <v>131</v>
      </c>
      <c r="G73" s="4">
        <v>427</v>
      </c>
      <c r="H73" s="3">
        <f t="shared" si="4"/>
        <v>0.6241221643879643</v>
      </c>
      <c r="I73" s="3">
        <f>SUM(E73:F73)/SUM('County Totals'!E72:F72)</f>
        <v>0.25523809523809526</v>
      </c>
      <c r="J73">
        <f t="shared" si="3"/>
        <v>63</v>
      </c>
    </row>
    <row r="74" spans="1:10" ht="15">
      <c r="A74" t="s">
        <v>70</v>
      </c>
      <c r="B74" s="2">
        <f>VLOOKUP($A74,'County Totals'!$A:$D,2,FALSE)</f>
        <v>407.3200000000001</v>
      </c>
      <c r="C74" s="2">
        <f>VLOOKUP($A74,'County Totals'!$A:$D,3,FALSE)</f>
        <v>767</v>
      </c>
      <c r="D74" s="2">
        <f>VLOOKUP($A74,'County Totals'!$A:$D,4,FALSE)</f>
        <v>312609.491</v>
      </c>
      <c r="E74" s="4">
        <v>3</v>
      </c>
      <c r="F74" s="4">
        <v>272</v>
      </c>
      <c r="G74" s="4">
        <v>677</v>
      </c>
      <c r="H74" s="3">
        <f t="shared" si="4"/>
        <v>1.1866527242117197</v>
      </c>
      <c r="I74" s="3">
        <f>SUM(E74:F74)/SUM('County Totals'!E73:F73)</f>
        <v>0.3997093023255814</v>
      </c>
      <c r="J74">
        <f t="shared" si="3"/>
        <v>83</v>
      </c>
    </row>
    <row r="75" spans="1:10" ht="15">
      <c r="A75" t="s">
        <v>71</v>
      </c>
      <c r="B75" s="2">
        <f>VLOOKUP($A75,'County Totals'!$A:$D,2,FALSE)</f>
        <v>313.3349999999999</v>
      </c>
      <c r="C75" s="2">
        <f>VLOOKUP($A75,'County Totals'!$A:$D,3,FALSE)</f>
        <v>718</v>
      </c>
      <c r="D75" s="2">
        <f>VLOOKUP($A75,'County Totals'!$A:$D,4,FALSE)</f>
        <v>225124.15599999996</v>
      </c>
      <c r="E75" s="4">
        <v>2</v>
      </c>
      <c r="F75" s="4">
        <v>65</v>
      </c>
      <c r="G75" s="4">
        <v>187</v>
      </c>
      <c r="H75" s="3">
        <f t="shared" si="4"/>
        <v>0.45515219355073355</v>
      </c>
      <c r="I75" s="3">
        <f>SUM(E75:F75)/SUM('County Totals'!E74:F74)</f>
        <v>0.26907630522088355</v>
      </c>
      <c r="J75">
        <f t="shared" si="3"/>
        <v>40</v>
      </c>
    </row>
    <row r="76" spans="1:10" ht="15">
      <c r="A76" t="s">
        <v>72</v>
      </c>
      <c r="B76" s="2">
        <f>VLOOKUP($A76,'County Totals'!$A:$D,2,FALSE)</f>
        <v>414.97999999999956</v>
      </c>
      <c r="C76" s="2">
        <f>VLOOKUP($A76,'County Totals'!$A:$D,3,FALSE)</f>
        <v>705</v>
      </c>
      <c r="D76" s="2">
        <f>VLOOKUP($A76,'County Totals'!$A:$D,4,FALSE)</f>
        <v>292484.135</v>
      </c>
      <c r="E76" s="4">
        <v>4</v>
      </c>
      <c r="F76" s="4">
        <v>229</v>
      </c>
      <c r="G76" s="4">
        <v>635</v>
      </c>
      <c r="H76" s="3">
        <f t="shared" si="4"/>
        <v>1.189620782267223</v>
      </c>
      <c r="I76" s="3">
        <f>SUM(E76:F76)/SUM('County Totals'!E75:F75)</f>
        <v>0.3396501457725947</v>
      </c>
      <c r="J76">
        <f t="shared" si="3"/>
        <v>84</v>
      </c>
    </row>
    <row r="77" spans="1:10" ht="15">
      <c r="A77" t="s">
        <v>73</v>
      </c>
      <c r="B77" s="2">
        <f>VLOOKUP($A77,'County Totals'!$A:$D,2,FALSE)</f>
        <v>393.5250000000002</v>
      </c>
      <c r="C77" s="2">
        <f>VLOOKUP($A77,'County Totals'!$A:$D,3,FALSE)</f>
        <v>501</v>
      </c>
      <c r="D77" s="2">
        <f>VLOOKUP($A77,'County Totals'!$A:$D,4,FALSE)</f>
        <v>197072.17200000002</v>
      </c>
      <c r="E77" s="4">
        <v>2</v>
      </c>
      <c r="F77" s="4">
        <v>67</v>
      </c>
      <c r="G77" s="4">
        <v>166</v>
      </c>
      <c r="H77" s="3">
        <f t="shared" si="4"/>
        <v>0.4615512336748845</v>
      </c>
      <c r="I77" s="3">
        <f>SUM(E77:F77)/SUM('County Totals'!E76:F76)</f>
        <v>0.2987012987012987</v>
      </c>
      <c r="J77">
        <f t="shared" si="3"/>
        <v>41</v>
      </c>
    </row>
    <row r="78" spans="1:10" ht="15">
      <c r="A78" t="s">
        <v>74</v>
      </c>
      <c r="B78" s="2">
        <f>VLOOKUP($A78,'County Totals'!$A:$D,2,FALSE)</f>
        <v>409.4109999999994</v>
      </c>
      <c r="C78" s="2">
        <f>VLOOKUP($A78,'County Totals'!$A:$D,3,FALSE)</f>
        <v>675</v>
      </c>
      <c r="D78" s="2">
        <f>VLOOKUP($A78,'County Totals'!$A:$D,4,FALSE)</f>
        <v>276232.89399999985</v>
      </c>
      <c r="E78" s="4">
        <v>5</v>
      </c>
      <c r="F78" s="4">
        <v>86</v>
      </c>
      <c r="G78" s="4">
        <v>239</v>
      </c>
      <c r="H78" s="3">
        <f t="shared" si="4"/>
        <v>0.4740887379965295</v>
      </c>
      <c r="I78" s="3">
        <f>SUM(E78:F78)/SUM('County Totals'!E77:F77)</f>
        <v>0.3204225352112676</v>
      </c>
      <c r="J78">
        <f t="shared" si="3"/>
        <v>43</v>
      </c>
    </row>
    <row r="79" spans="1:10" ht="15">
      <c r="A79" t="s">
        <v>75</v>
      </c>
      <c r="B79" s="2">
        <f>VLOOKUP($A79,'County Totals'!$A:$D,2,FALSE)</f>
        <v>408.07800000000043</v>
      </c>
      <c r="C79" s="2">
        <f>VLOOKUP($A79,'County Totals'!$A:$D,3,FALSE)</f>
        <v>3635</v>
      </c>
      <c r="D79" s="2">
        <f>VLOOKUP($A79,'County Totals'!$A:$D,4,FALSE)</f>
        <v>1483537.2359999993</v>
      </c>
      <c r="E79" s="4">
        <v>14</v>
      </c>
      <c r="F79" s="4">
        <v>317</v>
      </c>
      <c r="G79" s="4">
        <v>924</v>
      </c>
      <c r="H79" s="3">
        <f t="shared" si="4"/>
        <v>0.34127985302757435</v>
      </c>
      <c r="I79" s="3">
        <f>SUM(E79:F79)/SUM('County Totals'!E78:F78)</f>
        <v>0.12980392156862744</v>
      </c>
      <c r="J79">
        <f t="shared" si="3"/>
        <v>28</v>
      </c>
    </row>
    <row r="80" spans="1:10" ht="15">
      <c r="A80" t="s">
        <v>76</v>
      </c>
      <c r="B80" s="2">
        <f>VLOOKUP($A80,'County Totals'!$A:$D,2,FALSE)</f>
        <v>177.65900000000008</v>
      </c>
      <c r="C80" s="2">
        <f>VLOOKUP($A80,'County Totals'!$A:$D,3,FALSE)</f>
        <v>4015</v>
      </c>
      <c r="D80" s="2">
        <f>VLOOKUP($A80,'County Totals'!$A:$D,4,FALSE)</f>
        <v>713269.9910000002</v>
      </c>
      <c r="E80" s="4">
        <v>7</v>
      </c>
      <c r="F80" s="4">
        <v>116</v>
      </c>
      <c r="G80" s="4">
        <v>325</v>
      </c>
      <c r="H80" s="3">
        <f t="shared" si="4"/>
        <v>0.24967010252478417</v>
      </c>
      <c r="I80" s="3">
        <f>SUM(E80:F80)/SUM('County Totals'!E79:F79)</f>
        <v>0.1473053892215569</v>
      </c>
      <c r="J80">
        <f t="shared" si="3"/>
        <v>10</v>
      </c>
    </row>
    <row r="81" spans="1:10" ht="15">
      <c r="A81" t="s">
        <v>77</v>
      </c>
      <c r="B81" s="2">
        <f>VLOOKUP($A81,'County Totals'!$A:$D,2,FALSE)</f>
        <v>453.77200000000005</v>
      </c>
      <c r="C81" s="2">
        <f>VLOOKUP($A81,'County Totals'!$A:$D,3,FALSE)</f>
        <v>1710</v>
      </c>
      <c r="D81" s="2">
        <f>VLOOKUP($A81,'County Totals'!$A:$D,4,FALSE)</f>
        <v>775946.2159999994</v>
      </c>
      <c r="E81" s="4">
        <v>6</v>
      </c>
      <c r="F81" s="4">
        <v>213</v>
      </c>
      <c r="G81" s="4">
        <v>559</v>
      </c>
      <c r="H81" s="3">
        <f t="shared" si="4"/>
        <v>0.394745619666781</v>
      </c>
      <c r="I81" s="3">
        <f>SUM(E81:F81)/SUM('County Totals'!E80:F80)</f>
        <v>0.2153392330383481</v>
      </c>
      <c r="J81">
        <f t="shared" si="3"/>
        <v>35</v>
      </c>
    </row>
    <row r="82" spans="1:10" ht="15">
      <c r="A82" t="s">
        <v>78</v>
      </c>
      <c r="B82" s="2">
        <f>VLOOKUP($A82,'County Totals'!$A:$D,2,FALSE)</f>
        <v>463.15699999999964</v>
      </c>
      <c r="C82" s="2">
        <f>VLOOKUP($A82,'County Totals'!$A:$D,3,FALSE)</f>
        <v>596</v>
      </c>
      <c r="D82" s="2">
        <f>VLOOKUP($A82,'County Totals'!$A:$D,4,FALSE)</f>
        <v>275930.0759999999</v>
      </c>
      <c r="E82" s="4">
        <v>5</v>
      </c>
      <c r="F82" s="4">
        <v>249</v>
      </c>
      <c r="G82" s="4">
        <v>705</v>
      </c>
      <c r="H82" s="3">
        <f t="shared" si="4"/>
        <v>1.399997330711473</v>
      </c>
      <c r="I82" s="3">
        <f>SUM(E82:F82)/SUM('County Totals'!E81:F81)</f>
        <v>0.42905405405405406</v>
      </c>
      <c r="J82">
        <f t="shared" si="3"/>
        <v>88</v>
      </c>
    </row>
    <row r="83" spans="1:10" ht="15">
      <c r="A83" t="s">
        <v>79</v>
      </c>
      <c r="B83" s="2">
        <f>VLOOKUP($A83,'County Totals'!$A:$D,2,FALSE)</f>
        <v>465.0910000000001</v>
      </c>
      <c r="C83" s="2">
        <f>VLOOKUP($A83,'County Totals'!$A:$D,3,FALSE)</f>
        <v>791</v>
      </c>
      <c r="D83" s="2">
        <f>VLOOKUP($A83,'County Totals'!$A:$D,4,FALSE)</f>
        <v>367680.4269999998</v>
      </c>
      <c r="E83" s="4">
        <v>3</v>
      </c>
      <c r="F83" s="4">
        <v>62</v>
      </c>
      <c r="G83" s="4">
        <v>166</v>
      </c>
      <c r="H83" s="3">
        <f t="shared" si="4"/>
        <v>0.24738576608971652</v>
      </c>
      <c r="I83" s="3">
        <f>SUM(E83:F83)/SUM('County Totals'!E82:F82)</f>
        <v>0.2653061224489796</v>
      </c>
      <c r="J83">
        <f t="shared" si="3"/>
        <v>8</v>
      </c>
    </row>
    <row r="84" spans="1:10" ht="15">
      <c r="A84" t="s">
        <v>80</v>
      </c>
      <c r="B84" s="2">
        <f>VLOOKUP($A84,'County Totals'!$A:$D,2,FALSE)</f>
        <v>267.484</v>
      </c>
      <c r="C84" s="2">
        <f>VLOOKUP($A84,'County Totals'!$A:$D,3,FALSE)</f>
        <v>566</v>
      </c>
      <c r="D84" s="2">
        <f>VLOOKUP($A84,'County Totals'!$A:$D,4,FALSE)</f>
        <v>151405.22599999994</v>
      </c>
      <c r="E84" s="4">
        <v>0</v>
      </c>
      <c r="F84" s="4">
        <v>30</v>
      </c>
      <c r="G84" s="4">
        <v>67</v>
      </c>
      <c r="H84" s="3">
        <f t="shared" si="4"/>
        <v>0.2424772891731181</v>
      </c>
      <c r="I84" s="3">
        <f>SUM(E84:F84)/SUM('County Totals'!E83:F83)</f>
        <v>0.2857142857142857</v>
      </c>
      <c r="J84">
        <f t="shared" si="3"/>
        <v>7</v>
      </c>
    </row>
    <row r="85" spans="1:10" ht="15">
      <c r="A85" t="s">
        <v>81</v>
      </c>
      <c r="B85" s="2">
        <f>VLOOKUP($A85,'County Totals'!$A:$D,2,FALSE)</f>
        <v>198.82999999999998</v>
      </c>
      <c r="C85" s="2">
        <f>VLOOKUP($A85,'County Totals'!$A:$D,3,FALSE)</f>
        <v>285</v>
      </c>
      <c r="D85" s="2">
        <f>VLOOKUP($A85,'County Totals'!$A:$D,4,FALSE)</f>
        <v>56761.75999999999</v>
      </c>
      <c r="E85" s="4">
        <v>1</v>
      </c>
      <c r="F85" s="4">
        <v>30</v>
      </c>
      <c r="G85" s="4">
        <v>88</v>
      </c>
      <c r="H85" s="3">
        <f t="shared" si="4"/>
        <v>0.8495011092360735</v>
      </c>
      <c r="I85" s="3">
        <f>SUM(E85:F85)/SUM('County Totals'!E84:F84)</f>
        <v>0.34444444444444444</v>
      </c>
      <c r="J85">
        <f t="shared" si="3"/>
        <v>73</v>
      </c>
    </row>
    <row r="86" spans="1:10" ht="15">
      <c r="A86" t="s">
        <v>82</v>
      </c>
      <c r="B86" s="2">
        <f>VLOOKUP($A86,'County Totals'!$A:$D,2,FALSE)</f>
        <v>272.4819999999999</v>
      </c>
      <c r="C86" s="2">
        <f>VLOOKUP($A86,'County Totals'!$A:$D,3,FALSE)</f>
        <v>2575</v>
      </c>
      <c r="D86" s="2">
        <f>VLOOKUP($A86,'County Totals'!$A:$D,4,FALSE)</f>
        <v>701638.0919999996</v>
      </c>
      <c r="E86" s="4">
        <v>5</v>
      </c>
      <c r="F86" s="4">
        <v>204</v>
      </c>
      <c r="G86" s="4">
        <v>636</v>
      </c>
      <c r="H86" s="3">
        <f t="shared" si="4"/>
        <v>0.49668504982613126</v>
      </c>
      <c r="I86" s="3">
        <f>SUM(E86:F86)/SUM('County Totals'!E85:F85)</f>
        <v>0.18001722652885443</v>
      </c>
      <c r="J86">
        <f t="shared" si="3"/>
        <v>46</v>
      </c>
    </row>
    <row r="87" spans="1:10" ht="15">
      <c r="A87" t="s">
        <v>83</v>
      </c>
      <c r="B87" s="2">
        <f>VLOOKUP($A87,'County Totals'!$A:$D,2,FALSE)</f>
        <v>338.5459999999996</v>
      </c>
      <c r="C87" s="2">
        <f>VLOOKUP($A87,'County Totals'!$A:$D,3,FALSE)</f>
        <v>419</v>
      </c>
      <c r="D87" s="2">
        <f>VLOOKUP($A87,'County Totals'!$A:$D,4,FALSE)</f>
        <v>141971.93900000007</v>
      </c>
      <c r="E87" s="4">
        <v>3</v>
      </c>
      <c r="F87" s="4">
        <v>103</v>
      </c>
      <c r="G87" s="4">
        <v>298</v>
      </c>
      <c r="H87" s="3">
        <f t="shared" si="4"/>
        <v>1.1501404600304614</v>
      </c>
      <c r="I87" s="3">
        <f>SUM(E87:F87)/SUM('County Totals'!E86:F86)</f>
        <v>0.4690265486725664</v>
      </c>
      <c r="J87">
        <f t="shared" si="3"/>
        <v>80</v>
      </c>
    </row>
    <row r="88" spans="1:10" ht="15">
      <c r="A88" t="s">
        <v>84</v>
      </c>
      <c r="B88" s="2">
        <f>VLOOKUP($A88,'County Totals'!$A:$D,2,FALSE)</f>
        <v>505.7419999999996</v>
      </c>
      <c r="C88" s="2">
        <f>VLOOKUP($A88,'County Totals'!$A:$D,3,FALSE)</f>
        <v>1107</v>
      </c>
      <c r="D88" s="2">
        <f>VLOOKUP($A88,'County Totals'!$A:$D,4,FALSE)</f>
        <v>560070.1170000003</v>
      </c>
      <c r="E88" s="4">
        <v>7</v>
      </c>
      <c r="F88" s="4">
        <v>245</v>
      </c>
      <c r="G88" s="4">
        <v>663</v>
      </c>
      <c r="H88" s="3">
        <f t="shared" si="4"/>
        <v>0.6486467679775825</v>
      </c>
      <c r="I88" s="3">
        <f>SUM(E88:F88)/SUM('County Totals'!E87:F87)</f>
        <v>0.2899884925201381</v>
      </c>
      <c r="J88">
        <f t="shared" si="3"/>
        <v>64</v>
      </c>
    </row>
    <row r="89" spans="1:10" ht="15">
      <c r="A89" t="s">
        <v>85</v>
      </c>
      <c r="B89" s="2">
        <f>VLOOKUP($A89,'County Totals'!$A:$D,2,FALSE)</f>
        <v>399.6799999999999</v>
      </c>
      <c r="C89" s="2">
        <f>VLOOKUP($A89,'County Totals'!$A:$D,3,FALSE)</f>
        <v>421</v>
      </c>
      <c r="D89" s="2">
        <f>VLOOKUP($A89,'County Totals'!$A:$D,4,FALSE)</f>
        <v>168238.39099999995</v>
      </c>
      <c r="E89" s="4">
        <v>2</v>
      </c>
      <c r="F89" s="4">
        <v>50</v>
      </c>
      <c r="G89" s="4">
        <v>159</v>
      </c>
      <c r="H89" s="3">
        <f t="shared" si="4"/>
        <v>0.517856163229907</v>
      </c>
      <c r="I89" s="3">
        <f>SUM(E89:F89)/SUM('County Totals'!E88:F88)</f>
        <v>0.26804123711340205</v>
      </c>
      <c r="J89">
        <f t="shared" si="3"/>
        <v>49</v>
      </c>
    </row>
    <row r="90" spans="1:10" ht="15">
      <c r="A90" t="s">
        <v>86</v>
      </c>
      <c r="B90" s="2">
        <f>VLOOKUP($A90,'County Totals'!$A:$D,2,FALSE)</f>
        <v>242.92900000000003</v>
      </c>
      <c r="C90" s="2">
        <f>VLOOKUP($A90,'County Totals'!$A:$D,3,FALSE)</f>
        <v>1086</v>
      </c>
      <c r="D90" s="2">
        <f>VLOOKUP($A90,'County Totals'!$A:$D,4,FALSE)</f>
        <v>263717.71499999997</v>
      </c>
      <c r="E90" s="4">
        <v>2</v>
      </c>
      <c r="F90" s="4">
        <v>52</v>
      </c>
      <c r="G90" s="4">
        <v>144</v>
      </c>
      <c r="H90" s="3">
        <f t="shared" si="4"/>
        <v>0.2991991250532453</v>
      </c>
      <c r="I90" s="3">
        <f>SUM(E90:F90)/SUM('County Totals'!E89:F89)</f>
        <v>0.1758957654723127</v>
      </c>
      <c r="J90">
        <f t="shared" si="3"/>
        <v>18</v>
      </c>
    </row>
    <row r="91" spans="1:10" ht="15">
      <c r="A91" t="s">
        <v>87</v>
      </c>
      <c r="B91" s="2">
        <f>VLOOKUP($A91,'County Totals'!$A:$D,2,FALSE)</f>
        <v>322.621</v>
      </c>
      <c r="C91" s="2">
        <f>VLOOKUP($A91,'County Totals'!$A:$D,3,FALSE)</f>
        <v>347</v>
      </c>
      <c r="D91" s="2">
        <f>VLOOKUP($A91,'County Totals'!$A:$D,4,FALSE)</f>
        <v>112013.70999999998</v>
      </c>
      <c r="E91" s="4">
        <v>0</v>
      </c>
      <c r="F91" s="4">
        <v>24</v>
      </c>
      <c r="G91" s="4">
        <v>67</v>
      </c>
      <c r="H91" s="3">
        <f t="shared" si="4"/>
        <v>0.32774852977482216</v>
      </c>
      <c r="I91" s="3">
        <f>SUM(E91:F91)/SUM('County Totals'!E90:F90)</f>
        <v>0.3157894736842105</v>
      </c>
      <c r="J91">
        <f t="shared" si="3"/>
        <v>23</v>
      </c>
    </row>
    <row r="92" spans="5:6" ht="15">
      <c r="E92" s="4">
        <v>714</v>
      </c>
      <c r="F92" s="4">
        <v>28142</v>
      </c>
    </row>
  </sheetData>
  <sheetProtection/>
  <autoFilter ref="A3:J91"/>
  <mergeCells count="2">
    <mergeCell ref="E1:J1"/>
    <mergeCell ref="E2:J2"/>
  </mergeCells>
  <printOptions/>
  <pageMargins left="0.7" right="0.7" top="0.75" bottom="0.75" header="0.3" footer="0.3"/>
  <pageSetup horizontalDpi="600" verticalDpi="600" orientation="portrait" r:id="rId1"/>
  <ignoredErrors>
    <ignoredError sqref="I4:I9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Q91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9.28125" style="0" bestFit="1" customWidth="1"/>
    <col min="3" max="3" width="10.57421875" style="0" bestFit="1" customWidth="1"/>
    <col min="4" max="4" width="13.8515625" style="0" bestFit="1" customWidth="1"/>
    <col min="5" max="6" width="9.28125" style="4" bestFit="1" customWidth="1"/>
    <col min="7" max="7" width="11.7109375" style="0" customWidth="1"/>
    <col min="8" max="8" width="9.28125" style="4" bestFit="1" customWidth="1"/>
    <col min="9" max="10" width="9.28125" style="4" customWidth="1"/>
  </cols>
  <sheetData>
    <row r="1" spans="5:10" ht="15" customHeight="1">
      <c r="E1" s="148" t="s">
        <v>96</v>
      </c>
      <c r="F1" s="148"/>
      <c r="G1" s="148"/>
      <c r="H1" s="148"/>
      <c r="I1" s="148"/>
      <c r="J1" s="148"/>
    </row>
    <row r="2" spans="5:10" ht="51" customHeight="1">
      <c r="E2" s="149" t="s">
        <v>157</v>
      </c>
      <c r="F2" s="149"/>
      <c r="G2" s="149"/>
      <c r="H2" s="149"/>
      <c r="I2" s="149"/>
      <c r="J2" s="149"/>
    </row>
    <row r="3" spans="1:10" ht="120">
      <c r="A3" s="5" t="s">
        <v>88</v>
      </c>
      <c r="B3" s="5" t="s">
        <v>190</v>
      </c>
      <c r="C3" s="5" t="s">
        <v>90</v>
      </c>
      <c r="D3" s="5" t="s">
        <v>89</v>
      </c>
      <c r="E3" s="6" t="s">
        <v>93</v>
      </c>
      <c r="F3" s="6" t="s">
        <v>94</v>
      </c>
      <c r="G3" s="6" t="s">
        <v>92</v>
      </c>
      <c r="H3" s="5" t="s">
        <v>91</v>
      </c>
      <c r="I3" s="5" t="s">
        <v>115</v>
      </c>
      <c r="J3" s="5" t="s">
        <v>155</v>
      </c>
    </row>
    <row r="4" spans="1:17" ht="15">
      <c r="A4" t="s">
        <v>0</v>
      </c>
      <c r="B4" s="2">
        <f>VLOOKUP($A4,'County Totals'!$A:$D,2,FALSE)</f>
        <v>374.96000000000026</v>
      </c>
      <c r="C4" s="2">
        <f>VLOOKUP($A4,'County Totals'!$A:$D,3,FALSE)</f>
        <v>346</v>
      </c>
      <c r="D4" s="2">
        <f>VLOOKUP($A4,'County Totals'!$A:$D,4,FALSE)</f>
        <v>129830.38699999993</v>
      </c>
      <c r="E4" s="4">
        <v>5</v>
      </c>
      <c r="F4" s="4">
        <v>152</v>
      </c>
      <c r="G4" s="4">
        <v>450</v>
      </c>
      <c r="H4" s="3">
        <f>G4*1000000/(5*365*$B4*$D4/$B4)</f>
        <v>1.8992113338286019</v>
      </c>
      <c r="I4" s="3">
        <f>SUM(E4:F4)/SUM('County Totals'!E3:F3)</f>
        <v>0.8219895287958116</v>
      </c>
      <c r="J4">
        <f aca="true" t="shared" si="0" ref="J4:J35">_xlfn.RANK.AVG(H4,H$1:H$65536,1)</f>
        <v>73</v>
      </c>
      <c r="K4" s="1"/>
      <c r="L4" s="1"/>
      <c r="M4" s="38"/>
      <c r="N4" s="1"/>
      <c r="O4" s="1"/>
      <c r="P4" s="1"/>
      <c r="Q4" s="1"/>
    </row>
    <row r="5" spans="1:17" ht="15">
      <c r="A5" t="s">
        <v>1</v>
      </c>
      <c r="B5" s="2">
        <f>VLOOKUP($A5,'County Totals'!$A:$D,2,FALSE)</f>
        <v>353.2279999999997</v>
      </c>
      <c r="C5" s="2">
        <f>VLOOKUP($A5,'County Totals'!$A:$D,3,FALSE)</f>
        <v>1581</v>
      </c>
      <c r="D5" s="2">
        <f>VLOOKUP($A5,'County Totals'!$A:$D,4,FALSE)</f>
        <v>558441.7940000001</v>
      </c>
      <c r="E5" s="4">
        <v>11</v>
      </c>
      <c r="F5" s="4">
        <v>275</v>
      </c>
      <c r="G5" s="4">
        <v>907</v>
      </c>
      <c r="H5" s="3">
        <f aca="true" t="shared" si="1" ref="H5:H68">G5*1000000/(5*365*$B5*$D5/$B5)</f>
        <v>0.8899518386868138</v>
      </c>
      <c r="I5" s="3">
        <f>SUM(E5:F5)/SUM('County Totals'!E4:F4)</f>
        <v>0.403954802259887</v>
      </c>
      <c r="J5">
        <f t="shared" si="0"/>
        <v>28</v>
      </c>
      <c r="K5" s="1"/>
      <c r="L5" s="1"/>
      <c r="M5" s="38"/>
      <c r="N5" s="1"/>
      <c r="O5" s="1"/>
      <c r="P5" s="1"/>
      <c r="Q5" s="1"/>
    </row>
    <row r="6" spans="1:17" ht="15">
      <c r="A6" t="s">
        <v>2</v>
      </c>
      <c r="B6" s="2">
        <f>VLOOKUP($A6,'County Totals'!$A:$D,2,FALSE)</f>
        <v>285.55899999999997</v>
      </c>
      <c r="C6" s="2">
        <f>VLOOKUP($A6,'County Totals'!$A:$D,3,FALSE)</f>
        <v>529</v>
      </c>
      <c r="D6" s="2">
        <f>VLOOKUP($A6,'County Totals'!$A:$D,4,FALSE)</f>
        <v>151139.74200000017</v>
      </c>
      <c r="E6" s="4">
        <v>1</v>
      </c>
      <c r="F6" s="4">
        <v>130</v>
      </c>
      <c r="G6" s="4">
        <v>360</v>
      </c>
      <c r="H6" s="3">
        <f t="shared" si="1"/>
        <v>1.3051515859581293</v>
      </c>
      <c r="I6" s="3">
        <f>SUM(E6:F6)/SUM('County Totals'!E5:F5)</f>
        <v>0.6752577319587629</v>
      </c>
      <c r="J6">
        <f t="shared" si="0"/>
        <v>56</v>
      </c>
      <c r="K6" s="1"/>
      <c r="L6" s="1"/>
      <c r="M6" s="38"/>
      <c r="N6" s="1"/>
      <c r="O6" s="1"/>
      <c r="P6" s="1"/>
      <c r="Q6" s="1"/>
    </row>
    <row r="7" spans="1:17" ht="15">
      <c r="A7" t="s">
        <v>3</v>
      </c>
      <c r="B7" s="2">
        <f>VLOOKUP($A7,'County Totals'!$A:$D,2,FALSE)</f>
        <v>358.51900000000006</v>
      </c>
      <c r="C7" s="2">
        <f>VLOOKUP($A7,'County Totals'!$A:$D,3,FALSE)</f>
        <v>636</v>
      </c>
      <c r="D7" s="2">
        <f>VLOOKUP($A7,'County Totals'!$A:$D,4,FALSE)</f>
        <v>228148.01299999998</v>
      </c>
      <c r="E7" s="4">
        <v>9</v>
      </c>
      <c r="F7" s="4">
        <v>251</v>
      </c>
      <c r="G7" s="4">
        <v>691</v>
      </c>
      <c r="H7" s="3">
        <f t="shared" si="1"/>
        <v>1.6595811289678046</v>
      </c>
      <c r="I7" s="3">
        <f>SUM(E7:F7)/SUM('County Totals'!E6:F6)</f>
        <v>0.7975460122699386</v>
      </c>
      <c r="J7">
        <f t="shared" si="0"/>
        <v>70</v>
      </c>
      <c r="K7" s="1"/>
      <c r="L7" s="1"/>
      <c r="M7" s="38"/>
      <c r="N7" s="1"/>
      <c r="O7" s="1"/>
      <c r="P7" s="1"/>
      <c r="Q7" s="1"/>
    </row>
    <row r="8" spans="1:17" ht="15">
      <c r="A8" t="s">
        <v>4</v>
      </c>
      <c r="B8" s="2">
        <f>VLOOKUP($A8,'County Totals'!$A:$D,2,FALSE)</f>
        <v>363.18499999999983</v>
      </c>
      <c r="C8" s="2">
        <f>VLOOKUP($A8,'County Totals'!$A:$D,3,FALSE)</f>
        <v>366</v>
      </c>
      <c r="D8" s="2">
        <f>VLOOKUP($A8,'County Totals'!$A:$D,4,FALSE)</f>
        <v>133042.99000000005</v>
      </c>
      <c r="E8" s="4">
        <v>2</v>
      </c>
      <c r="F8" s="4">
        <v>174</v>
      </c>
      <c r="G8" s="4">
        <v>490</v>
      </c>
      <c r="H8" s="3">
        <f t="shared" si="1"/>
        <v>2.0180931793921006</v>
      </c>
      <c r="I8" s="3">
        <f>SUM(E8:F8)/SUM('County Totals'!E7:F7)</f>
        <v>0.9072164948453608</v>
      </c>
      <c r="J8">
        <f t="shared" si="0"/>
        <v>78</v>
      </c>
      <c r="K8" s="1"/>
      <c r="L8" s="1"/>
      <c r="M8" s="38"/>
      <c r="N8" s="1"/>
      <c r="O8" s="1"/>
      <c r="P8" s="1"/>
      <c r="Q8" s="1"/>
    </row>
    <row r="9" spans="1:17" ht="15">
      <c r="A9" t="s">
        <v>5</v>
      </c>
      <c r="B9" s="2">
        <f>VLOOKUP($A9,'County Totals'!$A:$D,2,FALSE)</f>
        <v>357.75300000000016</v>
      </c>
      <c r="C9" s="2">
        <f>VLOOKUP($A9,'County Totals'!$A:$D,3,FALSE)</f>
        <v>787</v>
      </c>
      <c r="D9" s="2">
        <f>VLOOKUP($A9,'County Totals'!$A:$D,4,FALSE)</f>
        <v>281631.36699999997</v>
      </c>
      <c r="E9" s="4">
        <v>3</v>
      </c>
      <c r="F9" s="4">
        <v>120</v>
      </c>
      <c r="G9" s="4">
        <v>265</v>
      </c>
      <c r="H9" s="3">
        <f t="shared" si="1"/>
        <v>0.5155870278187258</v>
      </c>
      <c r="I9" s="3">
        <f>SUM(E9:F9)/SUM('County Totals'!E8:F8)</f>
        <v>0.6833333333333333</v>
      </c>
      <c r="J9">
        <f t="shared" si="0"/>
        <v>2</v>
      </c>
      <c r="K9" s="1"/>
      <c r="L9" s="1"/>
      <c r="M9" s="38"/>
      <c r="N9" s="1"/>
      <c r="O9" s="1"/>
      <c r="P9" s="1"/>
      <c r="Q9" s="1"/>
    </row>
    <row r="10" spans="1:17" ht="15">
      <c r="A10" t="s">
        <v>6</v>
      </c>
      <c r="B10" s="2">
        <f>VLOOKUP($A10,'County Totals'!$A:$D,2,FALSE)</f>
        <v>309.25</v>
      </c>
      <c r="C10" s="2">
        <f>VLOOKUP($A10,'County Totals'!$A:$D,3,FALSE)</f>
        <v>670</v>
      </c>
      <c r="D10" s="2">
        <f>VLOOKUP($A10,'County Totals'!$A:$D,4,FALSE)</f>
        <v>207062.1750000001</v>
      </c>
      <c r="E10" s="4">
        <v>5</v>
      </c>
      <c r="F10" s="4">
        <v>229</v>
      </c>
      <c r="G10" s="4">
        <v>761</v>
      </c>
      <c r="H10" s="3">
        <f t="shared" si="1"/>
        <v>2.013821700510307</v>
      </c>
      <c r="I10" s="3">
        <f>SUM(E10:F10)/SUM('County Totals'!E9:F9)</f>
        <v>0.8096885813148789</v>
      </c>
      <c r="J10">
        <f t="shared" si="0"/>
        <v>76</v>
      </c>
      <c r="K10" s="1"/>
      <c r="L10" s="1"/>
      <c r="M10" s="38"/>
      <c r="N10" s="1"/>
      <c r="O10" s="1"/>
      <c r="P10" s="1"/>
      <c r="Q10" s="1"/>
    </row>
    <row r="11" spans="1:17" ht="15">
      <c r="A11" t="s">
        <v>7</v>
      </c>
      <c r="B11" s="2">
        <f>VLOOKUP($A11,'County Totals'!$A:$D,2,FALSE)</f>
        <v>332.949</v>
      </c>
      <c r="C11" s="2">
        <f>VLOOKUP($A11,'County Totals'!$A:$D,3,FALSE)</f>
        <v>603</v>
      </c>
      <c r="D11" s="2">
        <f>VLOOKUP($A11,'County Totals'!$A:$D,4,FALSE)</f>
        <v>200604.25500000012</v>
      </c>
      <c r="E11" s="4">
        <v>2</v>
      </c>
      <c r="F11" s="4">
        <v>235</v>
      </c>
      <c r="G11" s="4">
        <v>617</v>
      </c>
      <c r="H11" s="3">
        <f t="shared" si="1"/>
        <v>1.6853191463003698</v>
      </c>
      <c r="I11" s="3">
        <f>SUM(E11:F11)/SUM('County Totals'!E10:F10)</f>
        <v>0.7796052631578947</v>
      </c>
      <c r="J11">
        <f t="shared" si="0"/>
        <v>71</v>
      </c>
      <c r="K11" s="1"/>
      <c r="L11" s="1"/>
      <c r="M11" s="38"/>
      <c r="N11" s="1"/>
      <c r="O11" s="1"/>
      <c r="P11" s="1"/>
      <c r="Q11" s="1"/>
    </row>
    <row r="12" spans="1:17" ht="15">
      <c r="A12" t="s">
        <v>8</v>
      </c>
      <c r="B12" s="2">
        <f>VLOOKUP($A12,'County Totals'!$A:$D,2,FALSE)</f>
        <v>267.0160000000001</v>
      </c>
      <c r="C12" s="2">
        <f>VLOOKUP($A12,'County Totals'!$A:$D,3,FALSE)</f>
        <v>4086</v>
      </c>
      <c r="D12" s="2">
        <f>VLOOKUP($A12,'County Totals'!$A:$D,4,FALSE)</f>
        <v>1090917.9510000004</v>
      </c>
      <c r="E12" s="4">
        <v>14</v>
      </c>
      <c r="F12" s="4">
        <v>471</v>
      </c>
      <c r="G12" s="4">
        <v>1300</v>
      </c>
      <c r="H12" s="3">
        <f t="shared" si="1"/>
        <v>0.6529627333296008</v>
      </c>
      <c r="I12" s="3">
        <f>SUM(E12:F12)/SUM('County Totals'!E11:F11)</f>
        <v>0.4933875890132248</v>
      </c>
      <c r="J12">
        <f t="shared" si="0"/>
        <v>8</v>
      </c>
      <c r="K12" s="1"/>
      <c r="L12" s="1"/>
      <c r="M12" s="38"/>
      <c r="N12" s="1"/>
      <c r="O12" s="1"/>
      <c r="P12" s="1"/>
      <c r="Q12" s="1"/>
    </row>
    <row r="13" spans="1:17" ht="15">
      <c r="A13" t="s">
        <v>9</v>
      </c>
      <c r="B13" s="2">
        <f>VLOOKUP($A13,'County Totals'!$A:$D,2,FALSE)</f>
        <v>306.0599999999999</v>
      </c>
      <c r="C13" s="2">
        <f>VLOOKUP($A13,'County Totals'!$A:$D,3,FALSE)</f>
        <v>513</v>
      </c>
      <c r="D13" s="2">
        <f>VLOOKUP($A13,'County Totals'!$A:$D,4,FALSE)</f>
        <v>157133.74300000007</v>
      </c>
      <c r="E13" s="4">
        <v>4</v>
      </c>
      <c r="F13" s="4">
        <v>113</v>
      </c>
      <c r="G13" s="4">
        <v>345</v>
      </c>
      <c r="H13" s="3">
        <f t="shared" si="1"/>
        <v>1.203058568333161</v>
      </c>
      <c r="I13" s="3">
        <f>SUM(E13:F13)/SUM('County Totals'!E12:F12)</f>
        <v>0.8731343283582089</v>
      </c>
      <c r="J13">
        <f t="shared" si="0"/>
        <v>50</v>
      </c>
      <c r="K13" s="1"/>
      <c r="L13" s="1"/>
      <c r="M13" s="38"/>
      <c r="N13" s="1"/>
      <c r="O13" s="1"/>
      <c r="P13" s="1"/>
      <c r="Q13" s="1"/>
    </row>
    <row r="14" spans="1:17" ht="15">
      <c r="A14" t="s">
        <v>10</v>
      </c>
      <c r="B14" s="2">
        <f>VLOOKUP($A14,'County Totals'!$A:$D,2,FALSE)</f>
        <v>239.03000000000014</v>
      </c>
      <c r="C14" s="2">
        <f>VLOOKUP($A14,'County Totals'!$A:$D,3,FALSE)</f>
        <v>546</v>
      </c>
      <c r="D14" s="2">
        <f>VLOOKUP($A14,'County Totals'!$A:$D,4,FALSE)</f>
        <v>130604.98699999995</v>
      </c>
      <c r="E14" s="4">
        <v>6</v>
      </c>
      <c r="F14" s="4">
        <v>109</v>
      </c>
      <c r="G14" s="4">
        <v>309</v>
      </c>
      <c r="H14" s="3">
        <f t="shared" si="1"/>
        <v>1.2963905313443411</v>
      </c>
      <c r="I14" s="3">
        <f>SUM(E14:F14)/SUM('County Totals'!E13:F13)</f>
        <v>0.756578947368421</v>
      </c>
      <c r="J14">
        <f t="shared" si="0"/>
        <v>55</v>
      </c>
      <c r="K14" s="1"/>
      <c r="L14" s="1"/>
      <c r="M14" s="38"/>
      <c r="N14" s="1"/>
      <c r="O14" s="1"/>
      <c r="P14" s="1"/>
      <c r="Q14" s="1"/>
    </row>
    <row r="15" spans="1:17" ht="15">
      <c r="A15" t="s">
        <v>11</v>
      </c>
      <c r="B15" s="2">
        <f>VLOOKUP($A15,'County Totals'!$A:$D,2,FALSE)</f>
        <v>306.735</v>
      </c>
      <c r="C15" s="2">
        <f>VLOOKUP($A15,'County Totals'!$A:$D,3,FALSE)</f>
        <v>1867</v>
      </c>
      <c r="D15" s="2">
        <f>VLOOKUP($A15,'County Totals'!$A:$D,4,FALSE)</f>
        <v>572619.2000000002</v>
      </c>
      <c r="E15" s="4">
        <v>16</v>
      </c>
      <c r="F15" s="4">
        <v>293</v>
      </c>
      <c r="G15" s="4">
        <v>908</v>
      </c>
      <c r="H15" s="3">
        <f t="shared" si="1"/>
        <v>0.8688745445059166</v>
      </c>
      <c r="I15" s="3">
        <f>SUM(E15:F15)/SUM('County Totals'!E14:F14)</f>
        <v>0.5469026548672566</v>
      </c>
      <c r="J15">
        <f t="shared" si="0"/>
        <v>25</v>
      </c>
      <c r="K15" s="1"/>
      <c r="L15" s="1"/>
      <c r="M15" s="38"/>
      <c r="N15" s="1"/>
      <c r="O15" s="1"/>
      <c r="P15" s="1"/>
      <c r="Q15" s="1"/>
    </row>
    <row r="16" spans="1:17" ht="15">
      <c r="A16" t="s">
        <v>12</v>
      </c>
      <c r="B16" s="2">
        <f>VLOOKUP($A16,'County Totals'!$A:$D,2,FALSE)</f>
        <v>384.98599999999965</v>
      </c>
      <c r="C16" s="2">
        <f>VLOOKUP($A16,'County Totals'!$A:$D,3,FALSE)</f>
        <v>2931</v>
      </c>
      <c r="D16" s="2">
        <f>VLOOKUP($A16,'County Totals'!$A:$D,4,FALSE)</f>
        <v>1128467.5830000003</v>
      </c>
      <c r="E16" s="4">
        <v>22</v>
      </c>
      <c r="F16" s="4">
        <v>972</v>
      </c>
      <c r="G16" s="4">
        <v>3158</v>
      </c>
      <c r="H16" s="3">
        <f t="shared" si="1"/>
        <v>1.533416630634492</v>
      </c>
      <c r="I16" s="3">
        <f>SUM(E16:F16)/SUM('County Totals'!E15:F15)</f>
        <v>0.534983853606028</v>
      </c>
      <c r="J16">
        <f t="shared" si="0"/>
        <v>68</v>
      </c>
      <c r="K16" s="1"/>
      <c r="L16" s="1"/>
      <c r="M16" s="38"/>
      <c r="N16" s="1"/>
      <c r="O16" s="1"/>
      <c r="P16" s="1"/>
      <c r="Q16" s="1"/>
    </row>
    <row r="17" spans="1:17" ht="15">
      <c r="A17" t="s">
        <v>13</v>
      </c>
      <c r="B17" s="2">
        <f>VLOOKUP($A17,'County Totals'!$A:$D,2,FALSE)</f>
        <v>261.7250000000001</v>
      </c>
      <c r="C17" s="2">
        <f>VLOOKUP($A17,'County Totals'!$A:$D,3,FALSE)</f>
        <v>604</v>
      </c>
      <c r="D17" s="2">
        <f>VLOOKUP($A17,'County Totals'!$A:$D,4,FALSE)</f>
        <v>158125.797</v>
      </c>
      <c r="E17" s="4">
        <v>2</v>
      </c>
      <c r="F17" s="4">
        <v>136</v>
      </c>
      <c r="G17" s="4">
        <v>355</v>
      </c>
      <c r="H17" s="3">
        <f t="shared" si="1"/>
        <v>1.2301632727593812</v>
      </c>
      <c r="I17" s="3">
        <f>SUM(E17:F17)/SUM('County Totals'!E16:F16)</f>
        <v>0.7796610169491526</v>
      </c>
      <c r="J17">
        <f t="shared" si="0"/>
        <v>51</v>
      </c>
      <c r="K17" s="1"/>
      <c r="L17" s="1"/>
      <c r="M17" s="38"/>
      <c r="N17" s="1"/>
      <c r="O17" s="1"/>
      <c r="P17" s="1"/>
      <c r="Q17" s="1"/>
    </row>
    <row r="18" spans="1:17" ht="15">
      <c r="A18" t="s">
        <v>14</v>
      </c>
      <c r="B18" s="2">
        <f>VLOOKUP($A18,'County Totals'!$A:$D,2,FALSE)</f>
        <v>168.39000000000004</v>
      </c>
      <c r="C18" s="2">
        <f>VLOOKUP($A18,'County Totals'!$A:$D,3,FALSE)</f>
        <v>1462</v>
      </c>
      <c r="D18" s="2">
        <f>VLOOKUP($A18,'County Totals'!$A:$D,4,FALSE)</f>
        <v>246177.93000000008</v>
      </c>
      <c r="E18" s="4">
        <v>6</v>
      </c>
      <c r="F18" s="4">
        <v>186</v>
      </c>
      <c r="G18" s="4">
        <v>518</v>
      </c>
      <c r="H18" s="3">
        <f t="shared" si="1"/>
        <v>1.1529693845356328</v>
      </c>
      <c r="I18" s="3">
        <f>SUM(E18:F18)/SUM('County Totals'!E17:F17)</f>
        <v>0.6931407942238267</v>
      </c>
      <c r="J18">
        <f t="shared" si="0"/>
        <v>46</v>
      </c>
      <c r="K18" s="1"/>
      <c r="L18" s="1"/>
      <c r="M18" s="38"/>
      <c r="N18" s="1"/>
      <c r="O18" s="1"/>
      <c r="P18" s="1"/>
      <c r="Q18" s="1"/>
    </row>
    <row r="19" spans="1:17" ht="15">
      <c r="A19" t="s">
        <v>15</v>
      </c>
      <c r="B19" s="2">
        <f>VLOOKUP($A19,'County Totals'!$A:$D,2,FALSE)</f>
        <v>351.77500000000026</v>
      </c>
      <c r="C19" s="2">
        <f>VLOOKUP($A19,'County Totals'!$A:$D,3,FALSE)</f>
        <v>541</v>
      </c>
      <c r="D19" s="2">
        <f>VLOOKUP($A19,'County Totals'!$A:$D,4,FALSE)</f>
        <v>190137.4799999999</v>
      </c>
      <c r="E19" s="4">
        <v>9</v>
      </c>
      <c r="F19" s="4">
        <v>92</v>
      </c>
      <c r="G19" s="4">
        <v>283</v>
      </c>
      <c r="H19" s="3">
        <f t="shared" si="1"/>
        <v>0.8155598420189697</v>
      </c>
      <c r="I19" s="3">
        <f>SUM(E19:F19)/SUM('County Totals'!E18:F18)</f>
        <v>0.7481481481481481</v>
      </c>
      <c r="J19">
        <f t="shared" si="0"/>
        <v>23</v>
      </c>
      <c r="K19" s="1"/>
      <c r="L19" s="1"/>
      <c r="M19" s="38"/>
      <c r="N19" s="1"/>
      <c r="O19" s="1"/>
      <c r="P19" s="1"/>
      <c r="Q19" s="1"/>
    </row>
    <row r="20" spans="1:17" ht="15">
      <c r="A20" t="s">
        <v>16</v>
      </c>
      <c r="B20" s="2">
        <f>VLOOKUP($A20,'County Totals'!$A:$D,2,FALSE)</f>
        <v>238.10199999999986</v>
      </c>
      <c r="C20" s="2">
        <f>VLOOKUP($A20,'County Totals'!$A:$D,3,FALSE)</f>
        <v>657</v>
      </c>
      <c r="D20" s="2">
        <f>VLOOKUP($A20,'County Totals'!$A:$D,4,FALSE)</f>
        <v>156525.97499999998</v>
      </c>
      <c r="E20" s="4">
        <v>2</v>
      </c>
      <c r="F20" s="4">
        <v>94</v>
      </c>
      <c r="G20" s="4">
        <v>286</v>
      </c>
      <c r="H20" s="3">
        <f t="shared" si="1"/>
        <v>1.0011905612926117</v>
      </c>
      <c r="I20" s="3">
        <f>SUM(E20:F20)/SUM('County Totals'!E19:F19)</f>
        <v>0.6857142857142857</v>
      </c>
      <c r="J20">
        <f t="shared" si="0"/>
        <v>37</v>
      </c>
      <c r="K20" s="1"/>
      <c r="L20" s="1"/>
      <c r="M20" s="38"/>
      <c r="N20" s="1"/>
      <c r="O20" s="1"/>
      <c r="P20" s="1"/>
      <c r="Q20" s="1"/>
    </row>
    <row r="21" spans="1:17" ht="15">
      <c r="A21" t="s">
        <v>17</v>
      </c>
      <c r="B21" s="2">
        <f>VLOOKUP($A21,'County Totals'!$A:$D,2,FALSE)</f>
        <v>22.090000000000003</v>
      </c>
      <c r="C21" s="2">
        <f>VLOOKUP($A21,'County Totals'!$A:$D,3,FALSE)</f>
        <v>4927</v>
      </c>
      <c r="D21" s="2">
        <f>VLOOKUP($A21,'County Totals'!$A:$D,4,FALSE)</f>
        <v>108833.01999999997</v>
      </c>
      <c r="E21" s="4">
        <v>0</v>
      </c>
      <c r="F21" s="4">
        <v>37</v>
      </c>
      <c r="G21" s="4">
        <v>148</v>
      </c>
      <c r="H21" s="3">
        <f t="shared" si="1"/>
        <v>0.7451404951453053</v>
      </c>
      <c r="I21" s="3">
        <f>SUM(E21:F21)/SUM('County Totals'!E20:F20)</f>
        <v>0.3854166666666667</v>
      </c>
      <c r="J21">
        <f t="shared" si="0"/>
        <v>15</v>
      </c>
      <c r="K21" s="1"/>
      <c r="L21" s="1"/>
      <c r="M21" s="38"/>
      <c r="N21" s="1"/>
      <c r="O21" s="1"/>
      <c r="P21" s="1"/>
      <c r="Q21" s="1"/>
    </row>
    <row r="22" spans="1:17" ht="15">
      <c r="A22" t="s">
        <v>18</v>
      </c>
      <c r="B22" s="2">
        <f>VLOOKUP($A22,'County Totals'!$A:$D,2,FALSE)</f>
        <v>539.4259999999997</v>
      </c>
      <c r="C22" s="2">
        <f>VLOOKUP($A22,'County Totals'!$A:$D,3,FALSE)</f>
        <v>504</v>
      </c>
      <c r="D22" s="2">
        <f>VLOOKUP($A22,'County Totals'!$A:$D,4,FALSE)</f>
        <v>271847.5880000003</v>
      </c>
      <c r="E22" s="4">
        <v>8</v>
      </c>
      <c r="F22" s="4">
        <v>165</v>
      </c>
      <c r="G22" s="4">
        <v>585</v>
      </c>
      <c r="H22" s="3">
        <f t="shared" si="1"/>
        <v>1.1791458131512984</v>
      </c>
      <c r="I22" s="3">
        <f>SUM(E22:F22)/SUM('County Totals'!E21:F21)</f>
        <v>0.729957805907173</v>
      </c>
      <c r="J22">
        <f t="shared" si="0"/>
        <v>48</v>
      </c>
      <c r="K22" s="1"/>
      <c r="L22" s="1"/>
      <c r="M22" s="38"/>
      <c r="N22" s="1"/>
      <c r="O22" s="1"/>
      <c r="P22" s="1"/>
      <c r="Q22" s="1"/>
    </row>
    <row r="23" spans="1:17" ht="15">
      <c r="A23" t="s">
        <v>19</v>
      </c>
      <c r="B23" s="2">
        <f>VLOOKUP($A23,'County Totals'!$A:$D,2,FALSE)</f>
        <v>338.45000000000005</v>
      </c>
      <c r="C23" s="2">
        <f>VLOOKUP($A23,'County Totals'!$A:$D,3,FALSE)</f>
        <v>569</v>
      </c>
      <c r="D23" s="2">
        <f>VLOOKUP($A23,'County Totals'!$A:$D,4,FALSE)</f>
        <v>192412.26600000015</v>
      </c>
      <c r="E23" s="4">
        <v>4</v>
      </c>
      <c r="F23" s="4">
        <v>104</v>
      </c>
      <c r="G23" s="4">
        <v>274</v>
      </c>
      <c r="H23" s="3">
        <f t="shared" si="1"/>
        <v>0.7802880212500056</v>
      </c>
      <c r="I23" s="3">
        <f>SUM(E23:F23)/SUM('County Totals'!E22:F22)</f>
        <v>0.5654450261780105</v>
      </c>
      <c r="J23">
        <f t="shared" si="0"/>
        <v>18</v>
      </c>
      <c r="K23" s="1"/>
      <c r="L23" s="1"/>
      <c r="M23" s="38"/>
      <c r="N23" s="1"/>
      <c r="O23" s="1"/>
      <c r="P23" s="1"/>
      <c r="Q23" s="1"/>
    </row>
    <row r="24" spans="1:17" ht="15">
      <c r="A24" t="s">
        <v>20</v>
      </c>
      <c r="B24" s="2">
        <f>VLOOKUP($A24,'County Totals'!$A:$D,2,FALSE)</f>
        <v>343.75400000000036</v>
      </c>
      <c r="C24" s="2">
        <f>VLOOKUP($A24,'County Totals'!$A:$D,3,FALSE)</f>
        <v>2746</v>
      </c>
      <c r="D24" s="2">
        <f>VLOOKUP($A24,'County Totals'!$A:$D,4,FALSE)</f>
        <v>943838.3889999997</v>
      </c>
      <c r="E24" s="4">
        <v>6</v>
      </c>
      <c r="F24" s="4">
        <v>324</v>
      </c>
      <c r="G24" s="4">
        <v>926</v>
      </c>
      <c r="H24" s="3">
        <f t="shared" si="1"/>
        <v>0.5375891319821838</v>
      </c>
      <c r="I24" s="3">
        <f>SUM(E24:F24)/SUM('County Totals'!E23:F23)</f>
        <v>0.41878172588832485</v>
      </c>
      <c r="J24">
        <f t="shared" si="0"/>
        <v>4</v>
      </c>
      <c r="K24" s="1"/>
      <c r="L24" s="1"/>
      <c r="M24" s="38"/>
      <c r="N24" s="1"/>
      <c r="O24" s="1"/>
      <c r="P24" s="1"/>
      <c r="Q24" s="1"/>
    </row>
    <row r="25" spans="1:17" ht="15">
      <c r="A25" t="s">
        <v>21</v>
      </c>
      <c r="B25" s="2">
        <f>VLOOKUP($A25,'County Totals'!$A:$D,2,FALSE)</f>
        <v>140.72399999999993</v>
      </c>
      <c r="C25" s="2">
        <f>VLOOKUP($A25,'County Totals'!$A:$D,3,FALSE)</f>
        <v>1857</v>
      </c>
      <c r="D25" s="2">
        <f>VLOOKUP($A25,'County Totals'!$A:$D,4,FALSE)</f>
        <v>261381.41000000012</v>
      </c>
      <c r="E25" s="4">
        <v>5</v>
      </c>
      <c r="F25" s="4">
        <v>136</v>
      </c>
      <c r="G25" s="4">
        <v>434</v>
      </c>
      <c r="H25" s="3">
        <f t="shared" si="1"/>
        <v>0.909813055098609</v>
      </c>
      <c r="I25" s="3">
        <f>SUM(E25:F25)/SUM('County Totals'!E24:F24)</f>
        <v>0.4298780487804878</v>
      </c>
      <c r="J25">
        <f t="shared" si="0"/>
        <v>30</v>
      </c>
      <c r="K25" s="1"/>
      <c r="L25" s="1"/>
      <c r="M25" s="38"/>
      <c r="N25" s="1"/>
      <c r="O25" s="1"/>
      <c r="P25" s="1"/>
      <c r="Q25" s="1"/>
    </row>
    <row r="26" spans="1:17" ht="15">
      <c r="A26" t="s">
        <v>22</v>
      </c>
      <c r="B26" s="2">
        <f>VLOOKUP($A26,'County Totals'!$A:$D,2,FALSE)</f>
        <v>367.4860000000001</v>
      </c>
      <c r="C26" s="2">
        <f>VLOOKUP($A26,'County Totals'!$A:$D,3,FALSE)</f>
        <v>1464</v>
      </c>
      <c r="D26" s="2">
        <f>VLOOKUP($A26,'County Totals'!$A:$D,4,FALSE)</f>
        <v>538066.0779999999</v>
      </c>
      <c r="E26" s="4">
        <v>16</v>
      </c>
      <c r="F26" s="4">
        <v>373</v>
      </c>
      <c r="G26" s="4">
        <v>873</v>
      </c>
      <c r="H26" s="3">
        <f t="shared" si="1"/>
        <v>0.8890286601259443</v>
      </c>
      <c r="I26" s="3">
        <f>SUM(E26:F26)/SUM('County Totals'!E25:F25)</f>
        <v>0.6049766718506998</v>
      </c>
      <c r="J26">
        <f t="shared" si="0"/>
        <v>27</v>
      </c>
      <c r="K26" s="1"/>
      <c r="L26" s="1"/>
      <c r="M26" s="38"/>
      <c r="N26" s="1"/>
      <c r="O26" s="1"/>
      <c r="P26" s="1"/>
      <c r="Q26" s="1"/>
    </row>
    <row r="27" spans="1:17" ht="15">
      <c r="A27" t="s">
        <v>23</v>
      </c>
      <c r="B27" s="2">
        <f>VLOOKUP($A27,'County Totals'!$A:$D,2,FALSE)</f>
        <v>312.2939999999999</v>
      </c>
      <c r="C27" s="2">
        <f>VLOOKUP($A27,'County Totals'!$A:$D,3,FALSE)</f>
        <v>509</v>
      </c>
      <c r="D27" s="2">
        <f>VLOOKUP($A27,'County Totals'!$A:$D,4,FALSE)</f>
        <v>159072.99000000005</v>
      </c>
      <c r="E27" s="4">
        <v>5</v>
      </c>
      <c r="F27" s="4">
        <v>140</v>
      </c>
      <c r="G27" s="4">
        <v>380</v>
      </c>
      <c r="H27" s="3">
        <f t="shared" si="1"/>
        <v>1.3089536952954222</v>
      </c>
      <c r="I27" s="3">
        <f>SUM(E27:F27)/SUM('County Totals'!E26:F26)</f>
        <v>0.8100558659217877</v>
      </c>
      <c r="J27">
        <f t="shared" si="0"/>
        <v>58</v>
      </c>
      <c r="K27" s="1"/>
      <c r="L27" s="1"/>
      <c r="M27" s="38"/>
      <c r="N27" s="1"/>
      <c r="O27" s="1"/>
      <c r="P27" s="1"/>
      <c r="Q27" s="1"/>
    </row>
    <row r="28" spans="1:17" ht="15">
      <c r="A28" t="s">
        <v>24</v>
      </c>
      <c r="B28" s="2">
        <f>VLOOKUP($A28,'County Totals'!$A:$D,2,FALSE)</f>
        <v>266.10200000000003</v>
      </c>
      <c r="C28" s="2">
        <f>VLOOKUP($A28,'County Totals'!$A:$D,3,FALSE)</f>
        <v>5176</v>
      </c>
      <c r="D28" s="2">
        <f>VLOOKUP($A28,'County Totals'!$A:$D,4,FALSE)</f>
        <v>1377389.7329999988</v>
      </c>
      <c r="E28" s="4">
        <v>25</v>
      </c>
      <c r="F28" s="4">
        <v>735</v>
      </c>
      <c r="G28" s="4">
        <v>1964</v>
      </c>
      <c r="H28" s="3">
        <f t="shared" si="1"/>
        <v>0.7813071041394533</v>
      </c>
      <c r="I28" s="3">
        <f>SUM(E28:F28)/SUM('County Totals'!E27:F27)</f>
        <v>0.35899858290033065</v>
      </c>
      <c r="J28">
        <f t="shared" si="0"/>
        <v>19</v>
      </c>
      <c r="K28" s="1"/>
      <c r="L28" s="1"/>
      <c r="M28" s="38"/>
      <c r="N28" s="1"/>
      <c r="O28" s="1"/>
      <c r="P28" s="1"/>
      <c r="Q28" s="1"/>
    </row>
    <row r="29" spans="1:17" ht="15">
      <c r="A29" t="s">
        <v>25</v>
      </c>
      <c r="B29" s="2">
        <f>VLOOKUP($A29,'County Totals'!$A:$D,2,FALSE)</f>
        <v>376.5069999999997</v>
      </c>
      <c r="C29" s="2">
        <f>VLOOKUP($A29,'County Totals'!$A:$D,3,FALSE)</f>
        <v>619</v>
      </c>
      <c r="D29" s="2">
        <f>VLOOKUP($A29,'County Totals'!$A:$D,4,FALSE)</f>
        <v>233138.67600000018</v>
      </c>
      <c r="E29" s="4">
        <v>6</v>
      </c>
      <c r="F29" s="4">
        <v>139</v>
      </c>
      <c r="G29" s="4">
        <v>436</v>
      </c>
      <c r="H29" s="3">
        <f t="shared" si="1"/>
        <v>1.0247296316851389</v>
      </c>
      <c r="I29" s="3">
        <f>SUM(E29:F29)/SUM('County Totals'!E28:F28)</f>
        <v>0.5870445344129555</v>
      </c>
      <c r="J29">
        <f t="shared" si="0"/>
        <v>39</v>
      </c>
      <c r="K29" s="1"/>
      <c r="L29" s="1"/>
      <c r="M29" s="38"/>
      <c r="N29" s="1"/>
      <c r="O29" s="1"/>
      <c r="P29" s="1"/>
      <c r="Q29" s="1"/>
    </row>
    <row r="30" spans="1:17" ht="15">
      <c r="A30" t="s">
        <v>26</v>
      </c>
      <c r="B30" s="2">
        <f>VLOOKUP($A30,'County Totals'!$A:$D,2,FALSE)</f>
        <v>454.75599999999986</v>
      </c>
      <c r="C30" s="2">
        <f>VLOOKUP($A30,'County Totals'!$A:$D,3,FALSE)</f>
        <v>332</v>
      </c>
      <c r="D30" s="2">
        <f>VLOOKUP($A30,'County Totals'!$A:$D,4,FALSE)</f>
        <v>150919.0630000001</v>
      </c>
      <c r="E30" s="4">
        <v>7</v>
      </c>
      <c r="F30" s="4">
        <v>171</v>
      </c>
      <c r="G30" s="4">
        <v>571</v>
      </c>
      <c r="H30" s="3">
        <f t="shared" si="1"/>
        <v>2.0731424255447894</v>
      </c>
      <c r="I30" s="3">
        <f>SUM(E30:F30)/SUM('County Totals'!E29:F29)</f>
        <v>0.8436018957345972</v>
      </c>
      <c r="J30">
        <f t="shared" si="0"/>
        <v>79</v>
      </c>
      <c r="K30" s="1"/>
      <c r="L30" s="1"/>
      <c r="M30" s="38"/>
      <c r="N30" s="1"/>
      <c r="O30" s="1"/>
      <c r="P30" s="1"/>
      <c r="Q30" s="1"/>
    </row>
    <row r="31" spans="1:17" ht="15">
      <c r="A31" t="s">
        <v>27</v>
      </c>
      <c r="B31" s="2">
        <f>VLOOKUP($A31,'County Totals'!$A:$D,2,FALSE)</f>
        <v>236.99300000000005</v>
      </c>
      <c r="C31" s="2">
        <f>VLOOKUP($A31,'County Totals'!$A:$D,3,FALSE)</f>
        <v>2814</v>
      </c>
      <c r="D31" s="2">
        <f>VLOOKUP($A31,'County Totals'!$A:$D,4,FALSE)</f>
        <v>667003.803</v>
      </c>
      <c r="E31" s="4">
        <v>8</v>
      </c>
      <c r="F31" s="4">
        <v>303</v>
      </c>
      <c r="G31" s="4">
        <v>890</v>
      </c>
      <c r="H31" s="3">
        <f t="shared" si="1"/>
        <v>0.7311371099884304</v>
      </c>
      <c r="I31" s="3">
        <f>SUM(E31:F31)/SUM('County Totals'!E30:F30)</f>
        <v>0.5553571428571429</v>
      </c>
      <c r="J31">
        <f t="shared" si="0"/>
        <v>14</v>
      </c>
      <c r="K31" s="1"/>
      <c r="L31" s="1"/>
      <c r="M31" s="38"/>
      <c r="N31" s="1"/>
      <c r="O31" s="1"/>
      <c r="P31" s="1"/>
      <c r="Q31" s="1"/>
    </row>
    <row r="32" spans="1:17" ht="15">
      <c r="A32" t="s">
        <v>28</v>
      </c>
      <c r="B32" s="2">
        <f>VLOOKUP($A32,'County Totals'!$A:$D,2,FALSE)</f>
        <v>323.4029999999999</v>
      </c>
      <c r="C32" s="2">
        <f>VLOOKUP($A32,'County Totals'!$A:$D,3,FALSE)</f>
        <v>1897</v>
      </c>
      <c r="D32" s="2">
        <f>VLOOKUP($A32,'County Totals'!$A:$D,4,FALSE)</f>
        <v>613507.4199999998</v>
      </c>
      <c r="E32" s="4">
        <v>8</v>
      </c>
      <c r="F32" s="4">
        <v>412</v>
      </c>
      <c r="G32" s="4">
        <v>1185</v>
      </c>
      <c r="H32" s="3">
        <f t="shared" si="1"/>
        <v>1.0583654693094842</v>
      </c>
      <c r="I32" s="3">
        <f>SUM(E32:F32)/SUM('County Totals'!E31:F31)</f>
        <v>0.5236907730673317</v>
      </c>
      <c r="J32">
        <f t="shared" si="0"/>
        <v>42</v>
      </c>
      <c r="K32" s="1"/>
      <c r="L32" s="1"/>
      <c r="M32" s="38"/>
      <c r="N32" s="1"/>
      <c r="O32" s="1"/>
      <c r="P32" s="1"/>
      <c r="Q32" s="1"/>
    </row>
    <row r="33" spans="1:17" ht="15">
      <c r="A33" t="s">
        <v>29</v>
      </c>
      <c r="B33" s="2">
        <f>VLOOKUP($A33,'County Totals'!$A:$D,2,FALSE)</f>
        <v>403.624</v>
      </c>
      <c r="C33" s="2">
        <f>VLOOKUP($A33,'County Totals'!$A:$D,3,FALSE)</f>
        <v>421</v>
      </c>
      <c r="D33" s="2">
        <f>VLOOKUP($A33,'County Totals'!$A:$D,4,FALSE)</f>
        <v>169953.35699999993</v>
      </c>
      <c r="E33" s="4">
        <v>4</v>
      </c>
      <c r="F33" s="4">
        <v>175</v>
      </c>
      <c r="G33" s="4">
        <v>535</v>
      </c>
      <c r="H33" s="3">
        <f t="shared" si="1"/>
        <v>1.7248890525387326</v>
      </c>
      <c r="I33" s="3">
        <f>SUM(E33:F33)/SUM('County Totals'!E32:F32)</f>
        <v>0.8099547511312217</v>
      </c>
      <c r="J33">
        <f t="shared" si="0"/>
        <v>72</v>
      </c>
      <c r="K33" s="1"/>
      <c r="L33" s="1"/>
      <c r="M33" s="38"/>
      <c r="N33" s="1"/>
      <c r="O33" s="1"/>
      <c r="P33" s="1"/>
      <c r="Q33" s="1"/>
    </row>
    <row r="34" spans="1:17" ht="15">
      <c r="A34" t="s">
        <v>30</v>
      </c>
      <c r="B34" s="2">
        <f>VLOOKUP($A34,'County Totals'!$A:$D,2,FALSE)</f>
        <v>511.58099999999996</v>
      </c>
      <c r="C34" s="2">
        <f>VLOOKUP($A34,'County Totals'!$A:$D,3,FALSE)</f>
        <v>5190</v>
      </c>
      <c r="D34" s="2">
        <f>VLOOKUP($A34,'County Totals'!$A:$D,4,FALSE)</f>
        <v>2655262.417</v>
      </c>
      <c r="E34" s="4">
        <v>35</v>
      </c>
      <c r="F34" s="4">
        <v>1536</v>
      </c>
      <c r="G34" s="4">
        <v>5095</v>
      </c>
      <c r="H34" s="3">
        <f t="shared" si="1"/>
        <v>1.051414279825514</v>
      </c>
      <c r="I34" s="3">
        <f>SUM(E34:F34)/SUM('County Totals'!E33:F33)</f>
        <v>0.34672257779739574</v>
      </c>
      <c r="J34">
        <f t="shared" si="0"/>
        <v>41</v>
      </c>
      <c r="K34" s="1"/>
      <c r="L34" s="1"/>
      <c r="M34" s="38"/>
      <c r="N34" s="1"/>
      <c r="O34" s="1"/>
      <c r="P34" s="1"/>
      <c r="Q34" s="1"/>
    </row>
    <row r="35" spans="1:17" ht="15">
      <c r="A35" t="s">
        <v>31</v>
      </c>
      <c r="B35" s="2">
        <f>VLOOKUP($A35,'County Totals'!$A:$D,2,FALSE)</f>
        <v>385.3810000000001</v>
      </c>
      <c r="C35" s="2">
        <f>VLOOKUP($A35,'County Totals'!$A:$D,3,FALSE)</f>
        <v>872</v>
      </c>
      <c r="D35" s="2">
        <f>VLOOKUP($A35,'County Totals'!$A:$D,4,FALSE)</f>
        <v>335880.58599999995</v>
      </c>
      <c r="E35" s="4">
        <v>6</v>
      </c>
      <c r="F35" s="4">
        <v>109</v>
      </c>
      <c r="G35" s="4">
        <v>466</v>
      </c>
      <c r="H35" s="3">
        <f t="shared" si="1"/>
        <v>0.7602179953128482</v>
      </c>
      <c r="I35" s="3">
        <f>SUM(E35:F35)/SUM('County Totals'!E34:F34)</f>
        <v>0.5203619909502263</v>
      </c>
      <c r="J35">
        <f t="shared" si="0"/>
        <v>17</v>
      </c>
      <c r="K35" s="1"/>
      <c r="L35" s="1"/>
      <c r="M35" s="38"/>
      <c r="N35" s="1"/>
      <c r="O35" s="1"/>
      <c r="P35" s="1"/>
      <c r="Q35" s="1"/>
    </row>
    <row r="36" spans="1:17" ht="15">
      <c r="A36" t="s">
        <v>32</v>
      </c>
      <c r="B36" s="2">
        <f>VLOOKUP($A36,'County Totals'!$A:$D,2,FALSE)</f>
        <v>391.51800000000026</v>
      </c>
      <c r="C36" s="2">
        <f>VLOOKUP($A36,'County Totals'!$A:$D,3,FALSE)</f>
        <v>395</v>
      </c>
      <c r="D36" s="2">
        <f>VLOOKUP($A36,'County Totals'!$A:$D,4,FALSE)</f>
        <v>154609.23100000006</v>
      </c>
      <c r="E36" s="4">
        <v>4</v>
      </c>
      <c r="F36" s="4">
        <v>76</v>
      </c>
      <c r="G36" s="4">
        <v>213</v>
      </c>
      <c r="H36" s="3">
        <f t="shared" si="1"/>
        <v>0.7548859017811378</v>
      </c>
      <c r="I36" s="3">
        <f>SUM(E36:F36)/SUM('County Totals'!E35:F35)</f>
        <v>0.6722689075630253</v>
      </c>
      <c r="J36">
        <f aca="true" t="shared" si="2" ref="J36:J67">_xlfn.RANK.AVG(H36,H$1:H$65536,1)</f>
        <v>16</v>
      </c>
      <c r="K36" s="1"/>
      <c r="L36" s="1"/>
      <c r="M36" s="38"/>
      <c r="N36" s="1"/>
      <c r="O36" s="1"/>
      <c r="P36" s="1"/>
      <c r="Q36" s="1"/>
    </row>
    <row r="37" spans="1:17" ht="15">
      <c r="A37" t="s">
        <v>33</v>
      </c>
      <c r="B37" s="2">
        <f>VLOOKUP($A37,'County Totals'!$A:$D,2,FALSE)</f>
        <v>265.9</v>
      </c>
      <c r="C37" s="2">
        <f>VLOOKUP($A37,'County Totals'!$A:$D,3,FALSE)</f>
        <v>300</v>
      </c>
      <c r="D37" s="2">
        <f>VLOOKUP($A37,'County Totals'!$A:$D,4,FALSE)</f>
        <v>79866.59999999998</v>
      </c>
      <c r="E37" s="4">
        <v>3</v>
      </c>
      <c r="F37" s="4">
        <v>80</v>
      </c>
      <c r="G37" s="4">
        <v>221</v>
      </c>
      <c r="H37" s="3">
        <f t="shared" si="1"/>
        <v>1.5162269385570308</v>
      </c>
      <c r="I37" s="3">
        <f>SUM(E37:F37)/SUM('County Totals'!E36:F36)</f>
        <v>1.0121951219512195</v>
      </c>
      <c r="J37">
        <f t="shared" si="2"/>
        <v>67</v>
      </c>
      <c r="K37" s="1"/>
      <c r="L37" s="1"/>
      <c r="M37" s="38"/>
      <c r="N37" s="1"/>
      <c r="O37" s="1"/>
      <c r="P37" s="1"/>
      <c r="Q37" s="1"/>
    </row>
    <row r="38" spans="1:17" ht="15">
      <c r="A38" t="s">
        <v>34</v>
      </c>
      <c r="B38" s="2">
        <f>VLOOKUP($A38,'County Totals'!$A:$D,2,FALSE)</f>
        <v>429.3439999999995</v>
      </c>
      <c r="C38" s="2">
        <f>VLOOKUP($A38,'County Totals'!$A:$D,3,FALSE)</f>
        <v>562</v>
      </c>
      <c r="D38" s="2">
        <f>VLOOKUP($A38,'County Totals'!$A:$D,4,FALSE)</f>
        <v>241343.573</v>
      </c>
      <c r="E38" s="4">
        <v>1</v>
      </c>
      <c r="F38" s="4">
        <v>107</v>
      </c>
      <c r="G38" s="4">
        <v>317</v>
      </c>
      <c r="H38" s="3">
        <f t="shared" si="1"/>
        <v>0.719715167791049</v>
      </c>
      <c r="I38" s="3">
        <f>SUM(E38:F38)/SUM('County Totals'!E37:F37)</f>
        <v>0.6967741935483871</v>
      </c>
      <c r="J38">
        <f t="shared" si="2"/>
        <v>13</v>
      </c>
      <c r="K38" s="1"/>
      <c r="L38" s="1"/>
      <c r="M38" s="38"/>
      <c r="N38" s="1"/>
      <c r="O38" s="1"/>
      <c r="P38" s="1"/>
      <c r="Q38" s="1"/>
    </row>
    <row r="39" spans="1:17" ht="15">
      <c r="A39" t="s">
        <v>35</v>
      </c>
      <c r="B39" s="2">
        <f>VLOOKUP($A39,'County Totals'!$A:$D,2,FALSE)</f>
        <v>392.1030000000001</v>
      </c>
      <c r="C39" s="2">
        <f>VLOOKUP($A39,'County Totals'!$A:$D,3,FALSE)</f>
        <v>535</v>
      </c>
      <c r="D39" s="2">
        <f>VLOOKUP($A39,'County Totals'!$A:$D,4,FALSE)</f>
        <v>209634.95199999984</v>
      </c>
      <c r="E39" s="4">
        <v>4</v>
      </c>
      <c r="F39" s="4">
        <v>134</v>
      </c>
      <c r="G39" s="4">
        <v>358</v>
      </c>
      <c r="H39" s="3">
        <f t="shared" si="1"/>
        <v>0.9357427360760147</v>
      </c>
      <c r="I39" s="3">
        <f>SUM(E39:F39)/SUM('County Totals'!E38:F38)</f>
        <v>0.7752808988764045</v>
      </c>
      <c r="J39">
        <f t="shared" si="2"/>
        <v>32</v>
      </c>
      <c r="K39" s="1"/>
      <c r="L39" s="1"/>
      <c r="M39" s="38"/>
      <c r="N39" s="1"/>
      <c r="O39" s="1"/>
      <c r="P39" s="1"/>
      <c r="Q39" s="1"/>
    </row>
    <row r="40" spans="1:17" ht="15">
      <c r="A40" t="s">
        <v>36</v>
      </c>
      <c r="B40" s="2">
        <f>VLOOKUP($A40,'County Totals'!$A:$D,2,FALSE)</f>
        <v>212.22299999999998</v>
      </c>
      <c r="C40" s="2">
        <f>VLOOKUP($A40,'County Totals'!$A:$D,3,FALSE)</f>
        <v>416</v>
      </c>
      <c r="D40" s="2">
        <f>VLOOKUP($A40,'County Totals'!$A:$D,4,FALSE)</f>
        <v>88228.29099999994</v>
      </c>
      <c r="E40" s="4">
        <v>1</v>
      </c>
      <c r="F40" s="4">
        <v>125</v>
      </c>
      <c r="G40" s="4">
        <v>315</v>
      </c>
      <c r="H40" s="3">
        <f t="shared" si="1"/>
        <v>1.9563196540441603</v>
      </c>
      <c r="I40" s="3">
        <f>SUM(E40:F40)/SUM('County Totals'!E39:F39)</f>
        <v>0.7590361445783133</v>
      </c>
      <c r="J40">
        <f t="shared" si="2"/>
        <v>74</v>
      </c>
      <c r="K40" s="1"/>
      <c r="L40" s="1"/>
      <c r="M40" s="38"/>
      <c r="N40" s="1"/>
      <c r="O40" s="1"/>
      <c r="P40" s="1"/>
      <c r="Q40" s="1"/>
    </row>
    <row r="41" spans="1:17" ht="15">
      <c r="A41" t="s">
        <v>37</v>
      </c>
      <c r="B41" s="2">
        <f>VLOOKUP($A41,'County Totals'!$A:$D,2,FALSE)</f>
        <v>251.05400000000026</v>
      </c>
      <c r="C41" s="2">
        <f>VLOOKUP($A41,'County Totals'!$A:$D,3,FALSE)</f>
        <v>675</v>
      </c>
      <c r="D41" s="2">
        <f>VLOOKUP($A41,'County Totals'!$A:$D,4,FALSE)</f>
        <v>169534.74700000003</v>
      </c>
      <c r="E41" s="4">
        <v>5</v>
      </c>
      <c r="F41" s="4">
        <v>133</v>
      </c>
      <c r="G41" s="4">
        <v>434</v>
      </c>
      <c r="H41" s="3">
        <f t="shared" si="1"/>
        <v>1.402710791659023</v>
      </c>
      <c r="I41" s="3">
        <f>SUM(E41:F41)/SUM('County Totals'!E40:F40)</f>
        <v>0.745945945945946</v>
      </c>
      <c r="J41">
        <f t="shared" si="2"/>
        <v>63</v>
      </c>
      <c r="K41" s="1"/>
      <c r="L41" s="1"/>
      <c r="M41" s="38"/>
      <c r="N41" s="1"/>
      <c r="O41" s="1"/>
      <c r="P41" s="1"/>
      <c r="Q41" s="1"/>
    </row>
    <row r="42" spans="1:17" ht="15">
      <c r="A42" t="s">
        <v>38</v>
      </c>
      <c r="B42" s="2">
        <f>VLOOKUP($A42,'County Totals'!$A:$D,2,FALSE)</f>
        <v>231.55199999999982</v>
      </c>
      <c r="C42" s="2">
        <f>VLOOKUP($A42,'County Totals'!$A:$D,3,FALSE)</f>
        <v>725</v>
      </c>
      <c r="D42" s="2">
        <f>VLOOKUP($A42,'County Totals'!$A:$D,4,FALSE)</f>
        <v>167780.78999999983</v>
      </c>
      <c r="E42" s="4">
        <v>2</v>
      </c>
      <c r="F42" s="4">
        <v>112</v>
      </c>
      <c r="G42" s="4">
        <v>350</v>
      </c>
      <c r="H42" s="3">
        <f t="shared" si="1"/>
        <v>1.1430439796940306</v>
      </c>
      <c r="I42" s="3">
        <f>SUM(E42:F42)/SUM('County Totals'!E41:F41)</f>
        <v>0.6627906976744186</v>
      </c>
      <c r="J42">
        <f t="shared" si="2"/>
        <v>45</v>
      </c>
      <c r="K42" s="1"/>
      <c r="L42" s="1"/>
      <c r="M42" s="38"/>
      <c r="N42" s="1"/>
      <c r="O42" s="1"/>
      <c r="P42" s="1"/>
      <c r="Q42" s="1"/>
    </row>
    <row r="43" spans="1:17" ht="15">
      <c r="A43" t="s">
        <v>39</v>
      </c>
      <c r="B43" s="2">
        <f>VLOOKUP($A43,'County Totals'!$A:$D,2,FALSE)</f>
        <v>295.6529999999996</v>
      </c>
      <c r="C43" s="2">
        <f>VLOOKUP($A43,'County Totals'!$A:$D,3,FALSE)</f>
        <v>423</v>
      </c>
      <c r="D43" s="2">
        <f>VLOOKUP($A43,'County Totals'!$A:$D,4,FALSE)</f>
        <v>125171.09799999998</v>
      </c>
      <c r="E43" s="4">
        <v>6</v>
      </c>
      <c r="F43" s="4">
        <v>171</v>
      </c>
      <c r="G43" s="4">
        <v>548</v>
      </c>
      <c r="H43" s="3">
        <f t="shared" si="1"/>
        <v>2.398908193668955</v>
      </c>
      <c r="I43" s="3">
        <f>SUM(E43:F43)/SUM('County Totals'!E42:F42)</f>
        <v>0.8805970149253731</v>
      </c>
      <c r="J43">
        <f t="shared" si="2"/>
        <v>83</v>
      </c>
      <c r="K43" s="1"/>
      <c r="L43" s="1"/>
      <c r="M43" s="38"/>
      <c r="N43" s="1"/>
      <c r="O43" s="1"/>
      <c r="P43" s="1"/>
      <c r="Q43" s="1"/>
    </row>
    <row r="44" spans="1:17" ht="15">
      <c r="A44" t="s">
        <v>40</v>
      </c>
      <c r="B44" s="2">
        <f>VLOOKUP($A44,'County Totals'!$A:$D,2,FALSE)</f>
        <v>259.38899999999984</v>
      </c>
      <c r="C44" s="2">
        <f>VLOOKUP($A44,'County Totals'!$A:$D,3,FALSE)</f>
        <v>658</v>
      </c>
      <c r="D44" s="2">
        <f>VLOOKUP($A44,'County Totals'!$A:$D,4,FALSE)</f>
        <v>170561.17900000003</v>
      </c>
      <c r="E44" s="4">
        <v>6</v>
      </c>
      <c r="F44" s="4">
        <v>193</v>
      </c>
      <c r="G44" s="4">
        <v>617</v>
      </c>
      <c r="H44" s="3">
        <f t="shared" si="1"/>
        <v>1.982175508887763</v>
      </c>
      <c r="I44" s="3">
        <f>SUM(E44:F44)/SUM('County Totals'!E43:F43)</f>
        <v>0.77734375</v>
      </c>
      <c r="J44">
        <f t="shared" si="2"/>
        <v>75</v>
      </c>
      <c r="K44" s="1"/>
      <c r="L44" s="1"/>
      <c r="M44" s="38"/>
      <c r="N44" s="1"/>
      <c r="O44" s="1"/>
      <c r="P44" s="1"/>
      <c r="Q44" s="1"/>
    </row>
    <row r="45" spans="1:17" ht="15">
      <c r="A45" t="s">
        <v>41</v>
      </c>
      <c r="B45" s="2">
        <f>VLOOKUP($A45,'County Totals'!$A:$D,2,FALSE)</f>
        <v>406.529</v>
      </c>
      <c r="C45" s="2">
        <f>VLOOKUP($A45,'County Totals'!$A:$D,3,FALSE)</f>
        <v>532</v>
      </c>
      <c r="D45" s="2">
        <f>VLOOKUP($A45,'County Totals'!$A:$D,4,FALSE)</f>
        <v>216075.06199999983</v>
      </c>
      <c r="E45" s="4">
        <v>4</v>
      </c>
      <c r="F45" s="4">
        <v>214</v>
      </c>
      <c r="G45" s="4">
        <v>631</v>
      </c>
      <c r="H45" s="3">
        <f t="shared" si="1"/>
        <v>1.600154230928947</v>
      </c>
      <c r="I45" s="3">
        <f>SUM(E45:F45)/SUM('County Totals'!E44:F44)</f>
        <v>0.7927272727272727</v>
      </c>
      <c r="J45">
        <f t="shared" si="2"/>
        <v>69</v>
      </c>
      <c r="K45" s="1"/>
      <c r="L45" s="1"/>
      <c r="M45" s="38"/>
      <c r="N45" s="1"/>
      <c r="O45" s="1"/>
      <c r="P45" s="1"/>
      <c r="Q45" s="1"/>
    </row>
    <row r="46" spans="1:17" ht="15">
      <c r="A46" t="s">
        <v>42</v>
      </c>
      <c r="B46" s="2">
        <f>VLOOKUP($A46,'County Totals'!$A:$D,2,FALSE)</f>
        <v>150.39800000000008</v>
      </c>
      <c r="C46" s="2">
        <f>VLOOKUP($A46,'County Totals'!$A:$D,3,FALSE)</f>
        <v>2468</v>
      </c>
      <c r="D46" s="2">
        <f>VLOOKUP($A46,'County Totals'!$A:$D,4,FALSE)</f>
        <v>371246.50199999986</v>
      </c>
      <c r="E46" s="4">
        <v>6</v>
      </c>
      <c r="F46" s="4">
        <v>144</v>
      </c>
      <c r="G46" s="4">
        <v>551</v>
      </c>
      <c r="H46" s="3">
        <f t="shared" si="1"/>
        <v>0.8132542841283881</v>
      </c>
      <c r="I46" s="3">
        <f>SUM(E46:F46)/SUM('County Totals'!E45:F45)</f>
        <v>0.4672897196261682</v>
      </c>
      <c r="J46">
        <f t="shared" si="2"/>
        <v>22</v>
      </c>
      <c r="K46" s="1"/>
      <c r="L46" s="1"/>
      <c r="M46" s="38"/>
      <c r="N46" s="1"/>
      <c r="O46" s="1"/>
      <c r="P46" s="1"/>
      <c r="Q46" s="1"/>
    </row>
    <row r="47" spans="1:17" ht="15">
      <c r="A47" t="s">
        <v>43</v>
      </c>
      <c r="B47" s="2">
        <f>VLOOKUP($A47,'County Totals'!$A:$D,2,FALSE)</f>
        <v>377.76599999999985</v>
      </c>
      <c r="C47" s="2">
        <f>VLOOKUP($A47,'County Totals'!$A:$D,3,FALSE)</f>
        <v>595</v>
      </c>
      <c r="D47" s="2">
        <f>VLOOKUP($A47,'County Totals'!$A:$D,4,FALSE)</f>
        <v>224731.72699999998</v>
      </c>
      <c r="E47" s="4">
        <v>4</v>
      </c>
      <c r="F47" s="4">
        <v>390</v>
      </c>
      <c r="G47" s="4">
        <v>1071</v>
      </c>
      <c r="H47" s="3">
        <f t="shared" si="1"/>
        <v>2.611332733933439</v>
      </c>
      <c r="I47" s="3">
        <f>SUM(E47:F47)/SUM('County Totals'!E46:F46)</f>
        <v>0.7150635208711433</v>
      </c>
      <c r="J47">
        <f t="shared" si="2"/>
        <v>88</v>
      </c>
      <c r="K47" s="1"/>
      <c r="L47" s="1"/>
      <c r="M47" s="38"/>
      <c r="N47" s="1"/>
      <c r="O47" s="1"/>
      <c r="P47" s="1"/>
      <c r="Q47" s="1"/>
    </row>
    <row r="48" spans="1:17" ht="15">
      <c r="A48" t="s">
        <v>44</v>
      </c>
      <c r="B48" s="2">
        <f>VLOOKUP($A48,'County Totals'!$A:$D,2,FALSE)</f>
        <v>426.6639999999997</v>
      </c>
      <c r="C48" s="2">
        <f>VLOOKUP($A48,'County Totals'!$A:$D,3,FALSE)</f>
        <v>1193</v>
      </c>
      <c r="D48" s="2">
        <f>VLOOKUP($A48,'County Totals'!$A:$D,4,FALSE)</f>
        <v>509171.8729999996</v>
      </c>
      <c r="E48" s="4">
        <v>8</v>
      </c>
      <c r="F48" s="4">
        <v>378</v>
      </c>
      <c r="G48" s="4">
        <v>1106</v>
      </c>
      <c r="H48" s="3">
        <f t="shared" si="1"/>
        <v>1.1902216705129633</v>
      </c>
      <c r="I48" s="3">
        <f>SUM(E48:F48)/SUM('County Totals'!E47:F47)</f>
        <v>0.6390728476821192</v>
      </c>
      <c r="J48">
        <f t="shared" si="2"/>
        <v>49</v>
      </c>
      <c r="K48" s="1"/>
      <c r="L48" s="1"/>
      <c r="M48" s="38"/>
      <c r="N48" s="1"/>
      <c r="O48" s="1"/>
      <c r="P48" s="1"/>
      <c r="Q48" s="1"/>
    </row>
    <row r="49" spans="1:17" ht="15">
      <c r="A49" t="s">
        <v>45</v>
      </c>
      <c r="B49" s="2">
        <f>VLOOKUP($A49,'County Totals'!$A:$D,2,FALSE)</f>
        <v>371.706</v>
      </c>
      <c r="C49" s="2">
        <f>VLOOKUP($A49,'County Totals'!$A:$D,3,FALSE)</f>
        <v>604</v>
      </c>
      <c r="D49" s="2">
        <f>VLOOKUP($A49,'County Totals'!$A:$D,4,FALSE)</f>
        <v>224485.95300000015</v>
      </c>
      <c r="E49" s="4">
        <v>5</v>
      </c>
      <c r="F49" s="4">
        <v>183</v>
      </c>
      <c r="G49" s="4">
        <v>582</v>
      </c>
      <c r="H49" s="3">
        <f t="shared" si="1"/>
        <v>1.4205971702338134</v>
      </c>
      <c r="I49" s="3">
        <f>SUM(E49:F49)/SUM('County Totals'!E48:F48)</f>
        <v>0.7673469387755102</v>
      </c>
      <c r="J49">
        <f t="shared" si="2"/>
        <v>66</v>
      </c>
      <c r="K49" s="1"/>
      <c r="L49" s="1"/>
      <c r="M49" s="38"/>
      <c r="N49" s="1"/>
      <c r="O49" s="1"/>
      <c r="P49" s="1"/>
      <c r="Q49" s="1"/>
    </row>
    <row r="50" spans="1:17" ht="15">
      <c r="A50" t="s">
        <v>46</v>
      </c>
      <c r="B50" s="2">
        <f>VLOOKUP($A50,'County Totals'!$A:$D,2,FALSE)</f>
        <v>270.915</v>
      </c>
      <c r="C50" s="2">
        <f>VLOOKUP($A50,'County Totals'!$A:$D,3,FALSE)</f>
        <v>2264</v>
      </c>
      <c r="D50" s="2">
        <f>VLOOKUP($A50,'County Totals'!$A:$D,4,FALSE)</f>
        <v>613309.2959999999</v>
      </c>
      <c r="E50" s="4">
        <v>14</v>
      </c>
      <c r="F50" s="4">
        <v>346</v>
      </c>
      <c r="G50" s="4">
        <v>904</v>
      </c>
      <c r="H50" s="3">
        <f t="shared" si="1"/>
        <v>0.8076552385298017</v>
      </c>
      <c r="I50" s="3">
        <f>SUM(E50:F50)/SUM('County Totals'!E49:F49)</f>
        <v>0.5240174672489083</v>
      </c>
      <c r="J50">
        <f t="shared" si="2"/>
        <v>21</v>
      </c>
      <c r="K50" s="1"/>
      <c r="L50" s="1"/>
      <c r="M50" s="38"/>
      <c r="N50" s="1"/>
      <c r="O50" s="1"/>
      <c r="P50" s="1"/>
      <c r="Q50" s="1"/>
    </row>
    <row r="51" spans="1:17" ht="15">
      <c r="A51" t="s">
        <v>47</v>
      </c>
      <c r="B51" s="2">
        <f>VLOOKUP($A51,'County Totals'!$A:$D,2,FALSE)</f>
        <v>284.63499999999965</v>
      </c>
      <c r="C51" s="2">
        <f>VLOOKUP($A51,'County Totals'!$A:$D,3,FALSE)</f>
        <v>2679</v>
      </c>
      <c r="D51" s="2">
        <f>VLOOKUP($A51,'County Totals'!$A:$D,4,FALSE)</f>
        <v>762562.3349999996</v>
      </c>
      <c r="E51" s="4">
        <v>5</v>
      </c>
      <c r="F51" s="4">
        <v>326</v>
      </c>
      <c r="G51" s="4">
        <v>924</v>
      </c>
      <c r="H51" s="3">
        <f t="shared" si="1"/>
        <v>0.6639475182878184</v>
      </c>
      <c r="I51" s="3">
        <f>SUM(E51:F51)/SUM('County Totals'!E50:F50)</f>
        <v>0.26437699680511184</v>
      </c>
      <c r="J51">
        <f t="shared" si="2"/>
        <v>10</v>
      </c>
      <c r="K51" s="1"/>
      <c r="L51" s="1"/>
      <c r="M51" s="38"/>
      <c r="N51" s="1"/>
      <c r="O51" s="1"/>
      <c r="P51" s="1"/>
      <c r="Q51" s="1"/>
    </row>
    <row r="52" spans="1:17" ht="15">
      <c r="A52" t="s">
        <v>48</v>
      </c>
      <c r="B52" s="2">
        <f>VLOOKUP($A52,'County Totals'!$A:$D,2,FALSE)</f>
        <v>340.8449999999998</v>
      </c>
      <c r="C52" s="2">
        <f>VLOOKUP($A52,'County Totals'!$A:$D,3,FALSE)</f>
        <v>532</v>
      </c>
      <c r="D52" s="2">
        <f>VLOOKUP($A52,'County Totals'!$A:$D,4,FALSE)</f>
        <v>181232.68699999995</v>
      </c>
      <c r="E52" s="4">
        <v>5</v>
      </c>
      <c r="F52" s="4">
        <v>172</v>
      </c>
      <c r="G52" s="4">
        <v>432</v>
      </c>
      <c r="H52" s="3">
        <f t="shared" si="1"/>
        <v>1.3061238162138122</v>
      </c>
      <c r="I52" s="3">
        <f>SUM(E52:F52)/SUM('County Totals'!E51:F51)</f>
        <v>0.6579925650557621</v>
      </c>
      <c r="J52">
        <f t="shared" si="2"/>
        <v>57</v>
      </c>
      <c r="K52" s="1"/>
      <c r="L52" s="1"/>
      <c r="M52" s="38"/>
      <c r="N52" s="1"/>
      <c r="O52" s="1"/>
      <c r="P52" s="1"/>
      <c r="Q52" s="1"/>
    </row>
    <row r="53" spans="1:17" ht="15">
      <c r="A53" t="s">
        <v>49</v>
      </c>
      <c r="B53" s="2">
        <f>VLOOKUP($A53,'County Totals'!$A:$D,2,FALSE)</f>
        <v>492.018</v>
      </c>
      <c r="C53" s="2">
        <f>VLOOKUP($A53,'County Totals'!$A:$D,3,FALSE)</f>
        <v>2586</v>
      </c>
      <c r="D53" s="2">
        <f>VLOOKUP($A53,'County Totals'!$A:$D,4,FALSE)</f>
        <v>1272505.1010000007</v>
      </c>
      <c r="E53" s="4">
        <v>6</v>
      </c>
      <c r="F53" s="4">
        <v>473</v>
      </c>
      <c r="G53" s="4">
        <v>1655</v>
      </c>
      <c r="H53" s="3">
        <f t="shared" si="1"/>
        <v>0.7126488643195567</v>
      </c>
      <c r="I53" s="3">
        <f>SUM(E53:F53)/SUM('County Totals'!E52:F52)</f>
        <v>0.3458483754512635</v>
      </c>
      <c r="J53">
        <f t="shared" si="2"/>
        <v>12</v>
      </c>
      <c r="K53" s="1"/>
      <c r="L53" s="1"/>
      <c r="M53" s="38"/>
      <c r="N53" s="1"/>
      <c r="O53" s="1"/>
      <c r="P53" s="1"/>
      <c r="Q53" s="1"/>
    </row>
    <row r="54" spans="1:17" ht="15">
      <c r="A54" t="s">
        <v>50</v>
      </c>
      <c r="B54" s="2">
        <f>VLOOKUP($A54,'County Totals'!$A:$D,2,FALSE)</f>
        <v>382.9020000000002</v>
      </c>
      <c r="C54" s="2">
        <f>VLOOKUP($A54,'County Totals'!$A:$D,3,FALSE)</f>
        <v>722</v>
      </c>
      <c r="D54" s="2">
        <f>VLOOKUP($A54,'County Totals'!$A:$D,4,FALSE)</f>
        <v>276461.727</v>
      </c>
      <c r="E54" s="4">
        <v>6</v>
      </c>
      <c r="F54" s="4">
        <v>144</v>
      </c>
      <c r="G54" s="4">
        <v>447</v>
      </c>
      <c r="H54" s="3">
        <f t="shared" si="1"/>
        <v>0.8859508674389315</v>
      </c>
      <c r="I54" s="3">
        <f>SUM(E54:F54)/SUM('County Totals'!E53:F53)</f>
        <v>0.5415162454873647</v>
      </c>
      <c r="J54">
        <f t="shared" si="2"/>
        <v>26</v>
      </c>
      <c r="K54" s="1"/>
      <c r="L54" s="1"/>
      <c r="M54" s="38"/>
      <c r="N54" s="1"/>
      <c r="O54" s="1"/>
      <c r="P54" s="1"/>
      <c r="Q54" s="1"/>
    </row>
    <row r="55" spans="1:17" ht="15">
      <c r="A55" t="s">
        <v>51</v>
      </c>
      <c r="B55" s="2">
        <f>VLOOKUP($A55,'County Totals'!$A:$D,2,FALSE)</f>
        <v>326.8430000000003</v>
      </c>
      <c r="C55" s="2">
        <f>VLOOKUP($A55,'County Totals'!$A:$D,3,FALSE)</f>
        <v>1842</v>
      </c>
      <c r="D55" s="2">
        <f>VLOOKUP($A55,'County Totals'!$A:$D,4,FALSE)</f>
        <v>602175.0560000002</v>
      </c>
      <c r="E55" s="4">
        <v>8</v>
      </c>
      <c r="F55" s="4">
        <v>359</v>
      </c>
      <c r="G55" s="4">
        <v>1015</v>
      </c>
      <c r="H55" s="3">
        <f t="shared" si="1"/>
        <v>0.9235925301456587</v>
      </c>
      <c r="I55" s="3">
        <f>SUM(E55:F55)/SUM('County Totals'!E54:F54)</f>
        <v>0.5227920227920227</v>
      </c>
      <c r="J55">
        <f t="shared" si="2"/>
        <v>31</v>
      </c>
      <c r="K55" s="1"/>
      <c r="L55" s="1"/>
      <c r="M55" s="38"/>
      <c r="N55" s="1"/>
      <c r="O55" s="1"/>
      <c r="P55" s="1"/>
      <c r="Q55" s="1"/>
    </row>
    <row r="56" spans="1:17" ht="15">
      <c r="A56" t="s">
        <v>52</v>
      </c>
      <c r="B56" s="2">
        <f>VLOOKUP($A56,'County Totals'!$A:$D,2,FALSE)</f>
        <v>259.859</v>
      </c>
      <c r="C56" s="2">
        <f>VLOOKUP($A56,'County Totals'!$A:$D,3,FALSE)</f>
        <v>424</v>
      </c>
      <c r="D56" s="2">
        <f>VLOOKUP($A56,'County Totals'!$A:$D,4,FALSE)</f>
        <v>110273.73200000002</v>
      </c>
      <c r="E56" s="4">
        <v>6</v>
      </c>
      <c r="F56" s="4">
        <v>121</v>
      </c>
      <c r="G56" s="4">
        <v>269</v>
      </c>
      <c r="H56" s="3">
        <f t="shared" si="1"/>
        <v>1.3366488791181257</v>
      </c>
      <c r="I56" s="3">
        <f>SUM(E56:F56)/SUM('County Totals'!E55:F55)</f>
        <v>0.8758620689655172</v>
      </c>
      <c r="J56">
        <f t="shared" si="2"/>
        <v>61</v>
      </c>
      <c r="K56" s="1"/>
      <c r="L56" s="1"/>
      <c r="M56" s="38"/>
      <c r="N56" s="1"/>
      <c r="O56" s="1"/>
      <c r="P56" s="1"/>
      <c r="Q56" s="1"/>
    </row>
    <row r="57" spans="1:17" ht="15">
      <c r="A57" t="s">
        <v>53</v>
      </c>
      <c r="B57" s="2">
        <f>VLOOKUP($A57,'County Totals'!$A:$D,2,FALSE)</f>
        <v>394.0519999999995</v>
      </c>
      <c r="C57" s="2">
        <f>VLOOKUP($A57,'County Totals'!$A:$D,3,FALSE)</f>
        <v>456</v>
      </c>
      <c r="D57" s="2">
        <f>VLOOKUP($A57,'County Totals'!$A:$D,4,FALSE)</f>
        <v>179669.62799999982</v>
      </c>
      <c r="E57" s="4">
        <v>3</v>
      </c>
      <c r="F57" s="4">
        <v>99</v>
      </c>
      <c r="G57" s="4">
        <v>263</v>
      </c>
      <c r="H57" s="3">
        <f t="shared" si="1"/>
        <v>0.8020809674136802</v>
      </c>
      <c r="I57" s="3">
        <f>SUM(E57:F57)/SUM('County Totals'!E56:F56)</f>
        <v>0.6754966887417219</v>
      </c>
      <c r="J57">
        <f t="shared" si="2"/>
        <v>20</v>
      </c>
      <c r="K57" s="1"/>
      <c r="L57" s="1"/>
      <c r="M57" s="38"/>
      <c r="N57" s="1"/>
      <c r="O57" s="1"/>
      <c r="P57" s="1"/>
      <c r="Q57" s="1"/>
    </row>
    <row r="58" spans="1:17" ht="15">
      <c r="A58" t="s">
        <v>54</v>
      </c>
      <c r="B58" s="2">
        <f>VLOOKUP($A58,'County Totals'!$A:$D,2,FALSE)</f>
        <v>423.8410000000001</v>
      </c>
      <c r="C58" s="2">
        <f>VLOOKUP($A58,'County Totals'!$A:$D,3,FALSE)</f>
        <v>1168</v>
      </c>
      <c r="D58" s="2">
        <f>VLOOKUP($A58,'County Totals'!$A:$D,4,FALSE)</f>
        <v>494925.85700000025</v>
      </c>
      <c r="E58" s="4">
        <v>7</v>
      </c>
      <c r="F58" s="4">
        <v>222</v>
      </c>
      <c r="G58" s="4">
        <v>876</v>
      </c>
      <c r="H58" s="3">
        <f t="shared" si="1"/>
        <v>0.9698422363897625</v>
      </c>
      <c r="I58" s="3">
        <f>SUM(E58:F58)/SUM('County Totals'!E57:F57)</f>
        <v>0.5826972010178118</v>
      </c>
      <c r="J58">
        <f t="shared" si="2"/>
        <v>35</v>
      </c>
      <c r="K58" s="1"/>
      <c r="L58" s="1"/>
      <c r="M58" s="38"/>
      <c r="N58" s="1"/>
      <c r="O58" s="1"/>
      <c r="P58" s="1"/>
      <c r="Q58" s="1"/>
    </row>
    <row r="59" spans="1:17" ht="15">
      <c r="A59" t="s">
        <v>55</v>
      </c>
      <c r="B59" s="2">
        <f>VLOOKUP($A59,'County Totals'!$A:$D,2,FALSE)</f>
        <v>371.3799999999997</v>
      </c>
      <c r="C59" s="2">
        <f>VLOOKUP($A59,'County Totals'!$A:$D,3,FALSE)</f>
        <v>273</v>
      </c>
      <c r="D59" s="2">
        <f>VLOOKUP($A59,'County Totals'!$A:$D,4,FALSE)</f>
        <v>101391.44000000005</v>
      </c>
      <c r="E59" s="4">
        <v>2</v>
      </c>
      <c r="F59" s="4">
        <v>45</v>
      </c>
      <c r="G59" s="4">
        <v>176</v>
      </c>
      <c r="H59" s="3">
        <f t="shared" si="1"/>
        <v>0.9511488954529449</v>
      </c>
      <c r="I59" s="3">
        <f>SUM(E59:F59)/SUM('County Totals'!E58:F58)</f>
        <v>0.7966101694915254</v>
      </c>
      <c r="J59">
        <f t="shared" si="2"/>
        <v>33</v>
      </c>
      <c r="K59" s="1"/>
      <c r="L59" s="1"/>
      <c r="M59" s="38"/>
      <c r="N59" s="1"/>
      <c r="O59" s="1"/>
      <c r="P59" s="1"/>
      <c r="Q59" s="1"/>
    </row>
    <row r="60" spans="1:17" ht="15">
      <c r="A60" t="s">
        <v>56</v>
      </c>
      <c r="B60" s="2">
        <f>VLOOKUP($A60,'County Totals'!$A:$D,2,FALSE)</f>
        <v>320.80200000000013</v>
      </c>
      <c r="C60" s="2">
        <f>VLOOKUP($A60,'County Totals'!$A:$D,3,FALSE)</f>
        <v>3035</v>
      </c>
      <c r="D60" s="2">
        <f>VLOOKUP($A60,'County Totals'!$A:$D,4,FALSE)</f>
        <v>973713.8790000004</v>
      </c>
      <c r="E60" s="4">
        <v>25</v>
      </c>
      <c r="F60" s="4">
        <v>569</v>
      </c>
      <c r="G60" s="4">
        <v>1500</v>
      </c>
      <c r="H60" s="3">
        <f t="shared" si="1"/>
        <v>0.8441060828498036</v>
      </c>
      <c r="I60" s="3">
        <f>SUM(E60:F60)/SUM('County Totals'!E59:F59)</f>
        <v>0.33981693363844395</v>
      </c>
      <c r="J60">
        <f t="shared" si="2"/>
        <v>24</v>
      </c>
      <c r="K60" s="1"/>
      <c r="L60" s="1"/>
      <c r="M60" s="38"/>
      <c r="N60" s="1"/>
      <c r="O60" s="1"/>
      <c r="P60" s="1"/>
      <c r="Q60" s="1"/>
    </row>
    <row r="61" spans="1:17" ht="15">
      <c r="A61" t="s">
        <v>57</v>
      </c>
      <c r="B61" s="2">
        <f>VLOOKUP($A61,'County Totals'!$A:$D,2,FALSE)</f>
        <v>343.43299999999994</v>
      </c>
      <c r="C61" s="2">
        <f>VLOOKUP($A61,'County Totals'!$A:$D,3,FALSE)</f>
        <v>299</v>
      </c>
      <c r="D61" s="2">
        <f>VLOOKUP($A61,'County Totals'!$A:$D,4,FALSE)</f>
        <v>102519.74400000006</v>
      </c>
      <c r="E61" s="4">
        <v>1</v>
      </c>
      <c r="F61" s="4">
        <v>33</v>
      </c>
      <c r="G61" s="4">
        <v>113</v>
      </c>
      <c r="H61" s="3">
        <f t="shared" si="1"/>
        <v>0.6039598403520989</v>
      </c>
      <c r="I61" s="3">
        <f>SUM(E61:F61)/SUM('County Totals'!E60:F60)</f>
        <v>0.7555555555555555</v>
      </c>
      <c r="J61">
        <f t="shared" si="2"/>
        <v>5</v>
      </c>
      <c r="K61" s="1"/>
      <c r="L61" s="1"/>
      <c r="M61" s="38"/>
      <c r="N61" s="1"/>
      <c r="O61" s="1"/>
      <c r="P61" s="1"/>
      <c r="Q61" s="1"/>
    </row>
    <row r="62" spans="1:17" ht="15">
      <c r="A62" t="s">
        <v>58</v>
      </c>
      <c r="B62" s="2">
        <f>VLOOKUP($A62,'County Totals'!$A:$D,2,FALSE)</f>
        <v>378.2799999999993</v>
      </c>
      <c r="C62" s="2">
        <f>VLOOKUP($A62,'County Totals'!$A:$D,3,FALSE)</f>
        <v>461</v>
      </c>
      <c r="D62" s="2">
        <f>VLOOKUP($A62,'County Totals'!$A:$D,4,FALSE)</f>
        <v>174200.20100000018</v>
      </c>
      <c r="E62" s="4">
        <v>4</v>
      </c>
      <c r="F62" s="4">
        <v>148</v>
      </c>
      <c r="G62" s="4">
        <v>403</v>
      </c>
      <c r="H62" s="3">
        <f t="shared" si="1"/>
        <v>1.2676329679333662</v>
      </c>
      <c r="I62" s="3">
        <f>SUM(E62:F62)/SUM('County Totals'!E61:F61)</f>
        <v>0.7272727272727273</v>
      </c>
      <c r="J62">
        <f t="shared" si="2"/>
        <v>53</v>
      </c>
      <c r="K62" s="1"/>
      <c r="L62" s="1"/>
      <c r="M62" s="38"/>
      <c r="N62" s="1"/>
      <c r="O62" s="1"/>
      <c r="P62" s="1"/>
      <c r="Q62" s="1"/>
    </row>
    <row r="63" spans="1:17" ht="15">
      <c r="A63" t="s">
        <v>59</v>
      </c>
      <c r="B63" s="2">
        <f>VLOOKUP($A63,'County Totals'!$A:$D,2,FALSE)</f>
        <v>528.2629999999999</v>
      </c>
      <c r="C63" s="2">
        <f>VLOOKUP($A63,'County Totals'!$A:$D,3,FALSE)</f>
        <v>556</v>
      </c>
      <c r="D63" s="2">
        <f>VLOOKUP($A63,'County Totals'!$A:$D,4,FALSE)</f>
        <v>293973.85599999985</v>
      </c>
      <c r="E63" s="4">
        <v>4</v>
      </c>
      <c r="F63" s="4">
        <v>445</v>
      </c>
      <c r="G63" s="4">
        <v>1259</v>
      </c>
      <c r="H63" s="3">
        <f t="shared" si="1"/>
        <v>2.346681514762423</v>
      </c>
      <c r="I63" s="3">
        <f>SUM(E63:F63)/SUM('County Totals'!E62:F62)</f>
        <v>0.8552380952380952</v>
      </c>
      <c r="J63">
        <f t="shared" si="2"/>
        <v>82</v>
      </c>
      <c r="K63" s="1"/>
      <c r="L63" s="1"/>
      <c r="M63" s="38"/>
      <c r="N63" s="1"/>
      <c r="O63" s="1"/>
      <c r="P63" s="1"/>
      <c r="Q63" s="1"/>
    </row>
    <row r="64" spans="1:17" ht="15">
      <c r="A64" t="s">
        <v>60</v>
      </c>
      <c r="B64" s="2">
        <f>VLOOKUP($A64,'County Totals'!$A:$D,2,FALSE)</f>
        <v>270.32</v>
      </c>
      <c r="C64" s="2">
        <f>VLOOKUP($A64,'County Totals'!$A:$D,3,FALSE)</f>
        <v>280</v>
      </c>
      <c r="D64" s="2">
        <f>VLOOKUP($A64,'County Totals'!$A:$D,4,FALSE)</f>
        <v>75571.63499999995</v>
      </c>
      <c r="E64" s="4">
        <v>1</v>
      </c>
      <c r="F64" s="4">
        <v>20</v>
      </c>
      <c r="G64" s="4">
        <v>58</v>
      </c>
      <c r="H64" s="3">
        <f t="shared" si="1"/>
        <v>0.42053902787478714</v>
      </c>
      <c r="I64" s="3">
        <f>SUM(E64:F64)/SUM('County Totals'!E63:F63)</f>
        <v>1.05</v>
      </c>
      <c r="J64">
        <f t="shared" si="2"/>
        <v>1</v>
      </c>
      <c r="K64" s="1"/>
      <c r="L64" s="1"/>
      <c r="M64" s="38"/>
      <c r="N64" s="1"/>
      <c r="O64" s="1"/>
      <c r="P64" s="1"/>
      <c r="Q64" s="1"/>
    </row>
    <row r="65" spans="1:17" ht="15">
      <c r="A65" t="s">
        <v>61</v>
      </c>
      <c r="B65" s="2">
        <f>VLOOKUP($A65,'County Totals'!$A:$D,2,FALSE)</f>
        <v>163.01399999999992</v>
      </c>
      <c r="C65" s="2">
        <f>VLOOKUP($A65,'County Totals'!$A:$D,3,FALSE)</f>
        <v>818</v>
      </c>
      <c r="D65" s="2">
        <f>VLOOKUP($A65,'County Totals'!$A:$D,4,FALSE)</f>
        <v>133401.51299999992</v>
      </c>
      <c r="E65" s="4">
        <v>6</v>
      </c>
      <c r="F65" s="4">
        <v>106</v>
      </c>
      <c r="G65" s="4">
        <v>301</v>
      </c>
      <c r="H65" s="3">
        <f t="shared" si="1"/>
        <v>1.2363540947943759</v>
      </c>
      <c r="I65" s="3">
        <f>SUM(E65:F65)/SUM('County Totals'!E64:F64)</f>
        <v>0.5863874345549738</v>
      </c>
      <c r="J65">
        <f t="shared" si="2"/>
        <v>52</v>
      </c>
      <c r="K65" s="1"/>
      <c r="L65" s="1"/>
      <c r="M65" s="38"/>
      <c r="N65" s="1"/>
      <c r="O65" s="1"/>
      <c r="P65" s="1"/>
      <c r="Q65" s="1"/>
    </row>
    <row r="66" spans="1:17" ht="15">
      <c r="A66" t="s">
        <v>62</v>
      </c>
      <c r="B66" s="2">
        <f>VLOOKUP($A66,'County Totals'!$A:$D,2,FALSE)</f>
        <v>331.522</v>
      </c>
      <c r="C66" s="2">
        <f>VLOOKUP($A66,'County Totals'!$A:$D,3,FALSE)</f>
        <v>410</v>
      </c>
      <c r="D66" s="2">
        <f>VLOOKUP($A66,'County Totals'!$A:$D,4,FALSE)</f>
        <v>136048.85299999997</v>
      </c>
      <c r="E66" s="4">
        <v>1</v>
      </c>
      <c r="F66" s="4">
        <v>91</v>
      </c>
      <c r="G66" s="4">
        <v>238</v>
      </c>
      <c r="H66" s="3">
        <f t="shared" si="1"/>
        <v>0.9585597822284443</v>
      </c>
      <c r="I66" s="3">
        <f>SUM(E66:F66)/SUM('County Totals'!E65:F65)</f>
        <v>0.9108910891089109</v>
      </c>
      <c r="J66">
        <f t="shared" si="2"/>
        <v>34</v>
      </c>
      <c r="K66" s="1"/>
      <c r="L66" s="1"/>
      <c r="M66" s="38"/>
      <c r="N66" s="1"/>
      <c r="O66" s="1"/>
      <c r="P66" s="1"/>
      <c r="Q66" s="1"/>
    </row>
    <row r="67" spans="1:17" ht="15">
      <c r="A67" t="s">
        <v>63</v>
      </c>
      <c r="B67" s="2">
        <f>VLOOKUP($A67,'County Totals'!$A:$D,2,FALSE)</f>
        <v>325.76700000000005</v>
      </c>
      <c r="C67" s="2">
        <f>VLOOKUP($A67,'County Totals'!$A:$D,3,FALSE)</f>
        <v>397</v>
      </c>
      <c r="D67" s="2">
        <f>VLOOKUP($A67,'County Totals'!$A:$D,4,FALSE)</f>
        <v>129480.42100000007</v>
      </c>
      <c r="E67" s="4">
        <v>3</v>
      </c>
      <c r="F67" s="4">
        <v>225</v>
      </c>
      <c r="G67" s="4">
        <v>544</v>
      </c>
      <c r="H67" s="3">
        <f t="shared" si="1"/>
        <v>2.3021410455625695</v>
      </c>
      <c r="I67" s="3">
        <f>SUM(E67:F67)/SUM('County Totals'!E66:F66)</f>
        <v>0.8507462686567164</v>
      </c>
      <c r="J67">
        <f t="shared" si="2"/>
        <v>81</v>
      </c>
      <c r="K67" s="1"/>
      <c r="L67" s="1"/>
      <c r="M67" s="38"/>
      <c r="N67" s="1"/>
      <c r="O67" s="1"/>
      <c r="P67" s="1"/>
      <c r="Q67" s="1"/>
    </row>
    <row r="68" spans="1:17" ht="15">
      <c r="A68" t="s">
        <v>64</v>
      </c>
      <c r="B68" s="2">
        <f>VLOOKUP($A68,'County Totals'!$A:$D,2,FALSE)</f>
        <v>232.25199999999992</v>
      </c>
      <c r="C68" s="2">
        <f>VLOOKUP($A68,'County Totals'!$A:$D,3,FALSE)</f>
        <v>954</v>
      </c>
      <c r="D68" s="2">
        <f>VLOOKUP($A68,'County Totals'!$A:$D,4,FALSE)</f>
        <v>221572.382</v>
      </c>
      <c r="E68" s="4">
        <v>14</v>
      </c>
      <c r="F68" s="4">
        <v>192</v>
      </c>
      <c r="G68" s="4">
        <v>549</v>
      </c>
      <c r="H68" s="3">
        <f t="shared" si="1"/>
        <v>1.3576688353163942</v>
      </c>
      <c r="I68" s="3">
        <f>SUM(E68:F68)/SUM('County Totals'!E67:F67)</f>
        <v>0.6821192052980133</v>
      </c>
      <c r="J68">
        <f aca="true" t="shared" si="3" ref="J68:J91">_xlfn.RANK.AVG(H68,H$1:H$65536,1)</f>
        <v>62</v>
      </c>
      <c r="K68" s="1"/>
      <c r="L68" s="1"/>
      <c r="M68" s="38"/>
      <c r="N68" s="1"/>
      <c r="O68" s="1"/>
      <c r="P68" s="1"/>
      <c r="Q68" s="1"/>
    </row>
    <row r="69" spans="1:17" ht="15">
      <c r="A69" t="s">
        <v>65</v>
      </c>
      <c r="B69" s="2">
        <f>VLOOKUP($A69,'County Totals'!$A:$D,2,FALSE)</f>
        <v>329.07100000000014</v>
      </c>
      <c r="C69" s="2">
        <f>VLOOKUP($A69,'County Totals'!$A:$D,3,FALSE)</f>
        <v>422</v>
      </c>
      <c r="D69" s="2">
        <f>VLOOKUP($A69,'County Totals'!$A:$D,4,FALSE)</f>
        <v>138883.2069999999</v>
      </c>
      <c r="E69" s="4">
        <v>10</v>
      </c>
      <c r="F69" s="4">
        <v>224</v>
      </c>
      <c r="G69" s="4">
        <v>610</v>
      </c>
      <c r="H69" s="3">
        <f aca="true" t="shared" si="4" ref="H69:H91">G69*1000000/(5*365*$B69*$D69/$B69)</f>
        <v>2.4066737985281828</v>
      </c>
      <c r="I69" s="3">
        <f>SUM(E69:F69)/SUM('County Totals'!E68:F68)</f>
        <v>0.8931297709923665</v>
      </c>
      <c r="J69">
        <f t="shared" si="3"/>
        <v>84</v>
      </c>
      <c r="K69" s="1"/>
      <c r="L69" s="1"/>
      <c r="M69" s="38"/>
      <c r="N69" s="1"/>
      <c r="O69" s="1"/>
      <c r="P69" s="1"/>
      <c r="Q69" s="1"/>
    </row>
    <row r="70" spans="1:17" ht="15">
      <c r="A70" t="s">
        <v>66</v>
      </c>
      <c r="B70" s="2">
        <f>VLOOKUP($A70,'County Totals'!$A:$D,2,FALSE)</f>
        <v>369.7760000000001</v>
      </c>
      <c r="C70" s="2">
        <f>VLOOKUP($A70,'County Totals'!$A:$D,3,FALSE)</f>
        <v>1481</v>
      </c>
      <c r="D70" s="2">
        <f>VLOOKUP($A70,'County Totals'!$A:$D,4,FALSE)</f>
        <v>547701.4870000003</v>
      </c>
      <c r="E70" s="4">
        <v>2</v>
      </c>
      <c r="F70" s="4">
        <v>411</v>
      </c>
      <c r="G70" s="4">
        <v>1111</v>
      </c>
      <c r="H70" s="3">
        <f t="shared" si="4"/>
        <v>1.1114943773882267</v>
      </c>
      <c r="I70" s="3">
        <f>SUM(E70:F70)/SUM('County Totals'!E69:F69)</f>
        <v>0.6046852122986823</v>
      </c>
      <c r="J70">
        <f t="shared" si="3"/>
        <v>43</v>
      </c>
      <c r="K70" s="1"/>
      <c r="L70" s="1"/>
      <c r="M70" s="38"/>
      <c r="N70" s="1"/>
      <c r="O70" s="1"/>
      <c r="P70" s="1"/>
      <c r="Q70" s="1"/>
    </row>
    <row r="71" spans="1:17" ht="15">
      <c r="A71" t="s">
        <v>67</v>
      </c>
      <c r="B71" s="2">
        <f>VLOOKUP($A71,'County Totals'!$A:$D,2,FALSE)</f>
        <v>266.814</v>
      </c>
      <c r="C71" s="2">
        <f>VLOOKUP($A71,'County Totals'!$A:$D,3,FALSE)</f>
        <v>631</v>
      </c>
      <c r="D71" s="2">
        <f>VLOOKUP($A71,'County Totals'!$A:$D,4,FALSE)</f>
        <v>168376.46300000013</v>
      </c>
      <c r="E71" s="4">
        <v>10</v>
      </c>
      <c r="F71" s="4">
        <v>153</v>
      </c>
      <c r="G71" s="4">
        <v>405</v>
      </c>
      <c r="H71" s="3">
        <f t="shared" si="4"/>
        <v>1.317985924310442</v>
      </c>
      <c r="I71" s="3">
        <f>SUM(E71:F71)/SUM('County Totals'!E70:F70)</f>
        <v>0.7688679245283019</v>
      </c>
      <c r="J71">
        <f t="shared" si="3"/>
        <v>59</v>
      </c>
      <c r="K71" s="1"/>
      <c r="L71" s="1"/>
      <c r="M71" s="38"/>
      <c r="N71" s="1"/>
      <c r="O71" s="1"/>
      <c r="P71" s="1"/>
      <c r="Q71" s="1"/>
    </row>
    <row r="72" spans="1:17" ht="15">
      <c r="A72" t="s">
        <v>68</v>
      </c>
      <c r="B72" s="2">
        <f>VLOOKUP($A72,'County Totals'!$A:$D,2,FALSE)</f>
        <v>331.20699999999994</v>
      </c>
      <c r="C72" s="2">
        <f>VLOOKUP($A72,'County Totals'!$A:$D,3,FALSE)</f>
        <v>559</v>
      </c>
      <c r="D72" s="2">
        <f>VLOOKUP($A72,'County Totals'!$A:$D,4,FALSE)</f>
        <v>185255.758</v>
      </c>
      <c r="E72" s="4">
        <v>2</v>
      </c>
      <c r="F72" s="4">
        <v>66</v>
      </c>
      <c r="G72" s="4">
        <v>177</v>
      </c>
      <c r="H72" s="3">
        <f t="shared" si="4"/>
        <v>0.5235265150023731</v>
      </c>
      <c r="I72" s="3">
        <f>SUM(E72:F72)/SUM('County Totals'!E71:F71)</f>
        <v>0.6126126126126126</v>
      </c>
      <c r="J72">
        <f t="shared" si="3"/>
        <v>3</v>
      </c>
      <c r="K72" s="1"/>
      <c r="L72" s="1"/>
      <c r="M72" s="38"/>
      <c r="N72" s="1"/>
      <c r="O72" s="1"/>
      <c r="P72" s="1"/>
      <c r="Q72" s="1"/>
    </row>
    <row r="73" spans="1:17" ht="15">
      <c r="A73" t="s">
        <v>69</v>
      </c>
      <c r="B73" s="2">
        <f>VLOOKUP($A73,'County Totals'!$A:$D,2,FALSE)</f>
        <v>345.9329999999999</v>
      </c>
      <c r="C73" s="2">
        <f>VLOOKUP($A73,'County Totals'!$A:$D,3,FALSE)</f>
        <v>1084</v>
      </c>
      <c r="D73" s="2">
        <f>VLOOKUP($A73,'County Totals'!$A:$D,4,FALSE)</f>
        <v>374882.701</v>
      </c>
      <c r="E73" s="4">
        <v>3</v>
      </c>
      <c r="F73" s="4">
        <v>305</v>
      </c>
      <c r="G73" s="4">
        <v>961</v>
      </c>
      <c r="H73" s="3">
        <f t="shared" si="4"/>
        <v>1.4046402809761913</v>
      </c>
      <c r="I73" s="3">
        <f>SUM(E73:F73)/SUM('County Totals'!E72:F72)</f>
        <v>0.5866666666666667</v>
      </c>
      <c r="J73">
        <f t="shared" si="3"/>
        <v>64</v>
      </c>
      <c r="K73" s="1"/>
      <c r="L73" s="1"/>
      <c r="M73" s="38"/>
      <c r="N73" s="1"/>
      <c r="O73" s="1"/>
      <c r="P73" s="1"/>
      <c r="Q73" s="1"/>
    </row>
    <row r="74" spans="1:17" ht="15">
      <c r="A74" t="s">
        <v>70</v>
      </c>
      <c r="B74" s="2">
        <f>VLOOKUP($A74,'County Totals'!$A:$D,2,FALSE)</f>
        <v>407.3200000000001</v>
      </c>
      <c r="C74" s="2">
        <f>VLOOKUP($A74,'County Totals'!$A:$D,3,FALSE)</f>
        <v>767</v>
      </c>
      <c r="D74" s="2">
        <f>VLOOKUP($A74,'County Totals'!$A:$D,4,FALSE)</f>
        <v>312609.491</v>
      </c>
      <c r="E74" s="4">
        <v>11</v>
      </c>
      <c r="F74" s="4">
        <v>554</v>
      </c>
      <c r="G74" s="4">
        <v>1386</v>
      </c>
      <c r="H74" s="3">
        <f t="shared" si="4"/>
        <v>2.429395385166091</v>
      </c>
      <c r="I74" s="3">
        <f>SUM(E74:F74)/SUM('County Totals'!E73:F73)</f>
        <v>0.8212209302325582</v>
      </c>
      <c r="J74">
        <f t="shared" si="3"/>
        <v>86</v>
      </c>
      <c r="K74" s="1"/>
      <c r="L74" s="1"/>
      <c r="M74" s="38"/>
      <c r="N74" s="1"/>
      <c r="O74" s="1"/>
      <c r="P74" s="1"/>
      <c r="Q74" s="1"/>
    </row>
    <row r="75" spans="1:17" ht="15">
      <c r="A75" t="s">
        <v>71</v>
      </c>
      <c r="B75" s="2">
        <f>VLOOKUP($A75,'County Totals'!$A:$D,2,FALSE)</f>
        <v>313.3349999999999</v>
      </c>
      <c r="C75" s="2">
        <f>VLOOKUP($A75,'County Totals'!$A:$D,3,FALSE)</f>
        <v>718</v>
      </c>
      <c r="D75" s="2">
        <f>VLOOKUP($A75,'County Totals'!$A:$D,4,FALSE)</f>
        <v>225124.15599999996</v>
      </c>
      <c r="E75" s="4">
        <v>5</v>
      </c>
      <c r="F75" s="4">
        <v>157</v>
      </c>
      <c r="G75" s="4">
        <v>421</v>
      </c>
      <c r="H75" s="3">
        <f t="shared" si="4"/>
        <v>1.0247009277265178</v>
      </c>
      <c r="I75" s="3">
        <f>SUM(E75:F75)/SUM('County Totals'!E74:F74)</f>
        <v>0.6506024096385542</v>
      </c>
      <c r="J75">
        <f t="shared" si="3"/>
        <v>38</v>
      </c>
      <c r="K75" s="1"/>
      <c r="L75" s="1"/>
      <c r="M75" s="38"/>
      <c r="N75" s="1"/>
      <c r="O75" s="1"/>
      <c r="P75" s="1"/>
      <c r="Q75" s="1"/>
    </row>
    <row r="76" spans="1:17" ht="15">
      <c r="A76" t="s">
        <v>72</v>
      </c>
      <c r="B76" s="2">
        <f>VLOOKUP($A76,'County Totals'!$A:$D,2,FALSE)</f>
        <v>414.97999999999956</v>
      </c>
      <c r="C76" s="2">
        <f>VLOOKUP($A76,'County Totals'!$A:$D,3,FALSE)</f>
        <v>705</v>
      </c>
      <c r="D76" s="2">
        <f>VLOOKUP($A76,'County Totals'!$A:$D,4,FALSE)</f>
        <v>292484.135</v>
      </c>
      <c r="E76" s="4">
        <v>13</v>
      </c>
      <c r="F76" s="4">
        <v>473</v>
      </c>
      <c r="G76" s="4">
        <v>1287</v>
      </c>
      <c r="H76" s="3">
        <f t="shared" si="4"/>
        <v>2.411089679965222</v>
      </c>
      <c r="I76" s="3">
        <f>SUM(E76:F76)/SUM('County Totals'!E75:F75)</f>
        <v>0.7084548104956269</v>
      </c>
      <c r="J76">
        <f t="shared" si="3"/>
        <v>85</v>
      </c>
      <c r="K76" s="1"/>
      <c r="L76" s="1"/>
      <c r="M76" s="38"/>
      <c r="N76" s="1"/>
      <c r="O76" s="1"/>
      <c r="P76" s="1"/>
      <c r="Q76" s="1"/>
    </row>
    <row r="77" spans="1:17" ht="15">
      <c r="A77" t="s">
        <v>73</v>
      </c>
      <c r="B77" s="2">
        <f>VLOOKUP($A77,'County Totals'!$A:$D,2,FALSE)</f>
        <v>393.5250000000002</v>
      </c>
      <c r="C77" s="2">
        <f>VLOOKUP($A77,'County Totals'!$A:$D,3,FALSE)</f>
        <v>501</v>
      </c>
      <c r="D77" s="2">
        <f>VLOOKUP($A77,'County Totals'!$A:$D,4,FALSE)</f>
        <v>197072.17200000002</v>
      </c>
      <c r="E77" s="4">
        <v>3</v>
      </c>
      <c r="F77" s="4">
        <v>167</v>
      </c>
      <c r="G77" s="4">
        <v>417</v>
      </c>
      <c r="H77" s="3">
        <f t="shared" si="4"/>
        <v>1.1594389424242582</v>
      </c>
      <c r="I77" s="3">
        <f>SUM(E77:F77)/SUM('County Totals'!E76:F76)</f>
        <v>0.7359307359307359</v>
      </c>
      <c r="J77">
        <f t="shared" si="3"/>
        <v>47</v>
      </c>
      <c r="K77" s="1"/>
      <c r="L77" s="1"/>
      <c r="M77" s="38"/>
      <c r="N77" s="1"/>
      <c r="O77" s="1"/>
      <c r="P77" s="1"/>
      <c r="Q77" s="1"/>
    </row>
    <row r="78" spans="1:12" ht="15">
      <c r="A78" t="s">
        <v>74</v>
      </c>
      <c r="B78" s="2">
        <f>VLOOKUP($A78,'County Totals'!$A:$D,2,FALSE)</f>
        <v>409.4109999999994</v>
      </c>
      <c r="C78" s="2">
        <f>VLOOKUP($A78,'County Totals'!$A:$D,3,FALSE)</f>
        <v>675</v>
      </c>
      <c r="D78" s="2">
        <f>VLOOKUP($A78,'County Totals'!$A:$D,4,FALSE)</f>
        <v>276232.89399999985</v>
      </c>
      <c r="E78" s="4">
        <v>6</v>
      </c>
      <c r="F78" s="4">
        <v>203</v>
      </c>
      <c r="G78" s="4">
        <v>572</v>
      </c>
      <c r="H78" s="3">
        <f t="shared" si="4"/>
        <v>1.1346391553724473</v>
      </c>
      <c r="I78" s="3">
        <f>SUM(E78:F78)/SUM('County Totals'!E77:F77)</f>
        <v>0.7359154929577465</v>
      </c>
      <c r="J78">
        <f t="shared" si="3"/>
        <v>44</v>
      </c>
      <c r="K78" s="1"/>
      <c r="L78" s="1"/>
    </row>
    <row r="79" spans="1:12" ht="15">
      <c r="A79" t="s">
        <v>75</v>
      </c>
      <c r="B79" s="2">
        <f>VLOOKUP($A79,'County Totals'!$A:$D,2,FALSE)</f>
        <v>408.07800000000043</v>
      </c>
      <c r="C79" s="2">
        <f>VLOOKUP($A79,'County Totals'!$A:$D,3,FALSE)</f>
        <v>3635</v>
      </c>
      <c r="D79" s="2">
        <f>VLOOKUP($A79,'County Totals'!$A:$D,4,FALSE)</f>
        <v>1483537.2359999993</v>
      </c>
      <c r="E79" s="4">
        <v>28</v>
      </c>
      <c r="F79" s="4">
        <v>860</v>
      </c>
      <c r="G79" s="4">
        <v>2822</v>
      </c>
      <c r="H79" s="3">
        <f t="shared" si="4"/>
        <v>1.0423070835972021</v>
      </c>
      <c r="I79" s="3">
        <f>SUM(E79:F79)/SUM('County Totals'!E78:F78)</f>
        <v>0.34823529411764703</v>
      </c>
      <c r="J79">
        <f t="shared" si="3"/>
        <v>40</v>
      </c>
      <c r="K79" s="1"/>
      <c r="L79" s="1"/>
    </row>
    <row r="80" spans="1:12" ht="15">
      <c r="A80" t="s">
        <v>76</v>
      </c>
      <c r="B80" s="2">
        <f>VLOOKUP($A80,'County Totals'!$A:$D,2,FALSE)</f>
        <v>177.65900000000008</v>
      </c>
      <c r="C80" s="2">
        <f>VLOOKUP($A80,'County Totals'!$A:$D,3,FALSE)</f>
        <v>4015</v>
      </c>
      <c r="D80" s="2">
        <f>VLOOKUP($A80,'County Totals'!$A:$D,4,FALSE)</f>
        <v>713269.9910000002</v>
      </c>
      <c r="E80" s="4">
        <v>12</v>
      </c>
      <c r="F80" s="4">
        <v>328</v>
      </c>
      <c r="G80" s="4">
        <v>903</v>
      </c>
      <c r="H80" s="3">
        <f t="shared" si="4"/>
        <v>0.6936987771688619</v>
      </c>
      <c r="I80" s="3">
        <f>SUM(E80:F80)/SUM('County Totals'!E79:F79)</f>
        <v>0.40718562874251496</v>
      </c>
      <c r="J80">
        <f t="shared" si="3"/>
        <v>11</v>
      </c>
      <c r="K80" s="1"/>
      <c r="L80" s="1"/>
    </row>
    <row r="81" spans="1:12" ht="15">
      <c r="A81" t="s">
        <v>77</v>
      </c>
      <c r="B81" s="2">
        <f>VLOOKUP($A81,'County Totals'!$A:$D,2,FALSE)</f>
        <v>453.77200000000005</v>
      </c>
      <c r="C81" s="2">
        <f>VLOOKUP($A81,'County Totals'!$A:$D,3,FALSE)</f>
        <v>1710</v>
      </c>
      <c r="D81" s="2">
        <f>VLOOKUP($A81,'County Totals'!$A:$D,4,FALSE)</f>
        <v>775946.2159999994</v>
      </c>
      <c r="E81" s="4">
        <v>8</v>
      </c>
      <c r="F81" s="4">
        <v>515</v>
      </c>
      <c r="G81" s="4">
        <v>1392</v>
      </c>
      <c r="H81" s="3">
        <f t="shared" si="4"/>
        <v>0.9829801477212149</v>
      </c>
      <c r="I81" s="3">
        <f>SUM(E81:F81)/SUM('County Totals'!E80:F80)</f>
        <v>0.5142576204523107</v>
      </c>
      <c r="J81">
        <f t="shared" si="3"/>
        <v>36</v>
      </c>
      <c r="K81" s="1"/>
      <c r="L81" s="1"/>
    </row>
    <row r="82" spans="1:12" ht="15">
      <c r="A82" t="s">
        <v>78</v>
      </c>
      <c r="B82" s="2">
        <f>VLOOKUP($A82,'County Totals'!$A:$D,2,FALSE)</f>
        <v>463.15699999999964</v>
      </c>
      <c r="C82" s="2">
        <f>VLOOKUP($A82,'County Totals'!$A:$D,3,FALSE)</f>
        <v>596</v>
      </c>
      <c r="D82" s="2">
        <f>VLOOKUP($A82,'County Totals'!$A:$D,4,FALSE)</f>
        <v>275930.0759999999</v>
      </c>
      <c r="E82" s="4">
        <v>9</v>
      </c>
      <c r="F82" s="4">
        <v>489</v>
      </c>
      <c r="G82" s="4">
        <v>1299</v>
      </c>
      <c r="H82" s="3">
        <f t="shared" si="4"/>
        <v>2.579569549779012</v>
      </c>
      <c r="I82" s="3">
        <f>SUM(E82:F82)/SUM('County Totals'!E81:F81)</f>
        <v>0.8412162162162162</v>
      </c>
      <c r="J82">
        <f t="shared" si="3"/>
        <v>87</v>
      </c>
      <c r="K82" s="1"/>
      <c r="L82" s="1"/>
    </row>
    <row r="83" spans="1:12" ht="15">
      <c r="A83" t="s">
        <v>79</v>
      </c>
      <c r="B83" s="2">
        <f>VLOOKUP($A83,'County Totals'!$A:$D,2,FALSE)</f>
        <v>465.0910000000001</v>
      </c>
      <c r="C83" s="2">
        <f>VLOOKUP($A83,'County Totals'!$A:$D,3,FALSE)</f>
        <v>791</v>
      </c>
      <c r="D83" s="2">
        <f>VLOOKUP($A83,'County Totals'!$A:$D,4,FALSE)</f>
        <v>367680.4269999998</v>
      </c>
      <c r="E83" s="4">
        <v>7</v>
      </c>
      <c r="F83" s="4">
        <v>137</v>
      </c>
      <c r="G83" s="4">
        <v>440</v>
      </c>
      <c r="H83" s="3">
        <f t="shared" si="4"/>
        <v>0.6557213077076823</v>
      </c>
      <c r="I83" s="3">
        <f>SUM(E83:F83)/SUM('County Totals'!E82:F82)</f>
        <v>0.5877551020408164</v>
      </c>
      <c r="J83">
        <f t="shared" si="3"/>
        <v>9</v>
      </c>
      <c r="K83" s="1"/>
      <c r="L83" s="1"/>
    </row>
    <row r="84" spans="1:12" ht="15">
      <c r="A84" t="s">
        <v>80</v>
      </c>
      <c r="B84" s="2">
        <f>VLOOKUP($A84,'County Totals'!$A:$D,2,FALSE)</f>
        <v>267.484</v>
      </c>
      <c r="C84" s="2">
        <f>VLOOKUP($A84,'County Totals'!$A:$D,3,FALSE)</f>
        <v>566</v>
      </c>
      <c r="D84" s="2">
        <f>VLOOKUP($A84,'County Totals'!$A:$D,4,FALSE)</f>
        <v>151405.22599999994</v>
      </c>
      <c r="E84" s="4">
        <v>0</v>
      </c>
      <c r="F84" s="4">
        <v>66</v>
      </c>
      <c r="G84" s="4">
        <v>178</v>
      </c>
      <c r="H84" s="3">
        <f t="shared" si="4"/>
        <v>0.6441933951166421</v>
      </c>
      <c r="I84" s="3">
        <f>SUM(E84:F84)/SUM('County Totals'!E83:F83)</f>
        <v>0.6285714285714286</v>
      </c>
      <c r="J84">
        <f t="shared" si="3"/>
        <v>7</v>
      </c>
      <c r="K84" s="1"/>
      <c r="L84" s="1"/>
    </row>
    <row r="85" spans="1:12" ht="15">
      <c r="A85" t="s">
        <v>81</v>
      </c>
      <c r="B85" s="2">
        <f>VLOOKUP($A85,'County Totals'!$A:$D,2,FALSE)</f>
        <v>198.82999999999998</v>
      </c>
      <c r="C85" s="2">
        <f>VLOOKUP($A85,'County Totals'!$A:$D,3,FALSE)</f>
        <v>285</v>
      </c>
      <c r="D85" s="2">
        <f>VLOOKUP($A85,'County Totals'!$A:$D,4,FALSE)</f>
        <v>56761.75999999999</v>
      </c>
      <c r="E85" s="4">
        <v>4</v>
      </c>
      <c r="F85" s="4">
        <v>76</v>
      </c>
      <c r="G85" s="4">
        <v>209</v>
      </c>
      <c r="H85" s="3">
        <f t="shared" si="4"/>
        <v>2.0175651344356744</v>
      </c>
      <c r="I85" s="3">
        <f>SUM(E85:F85)/SUM('County Totals'!E84:F84)</f>
        <v>0.8888888888888888</v>
      </c>
      <c r="J85">
        <f t="shared" si="3"/>
        <v>77</v>
      </c>
      <c r="K85" s="1"/>
      <c r="L85" s="1"/>
    </row>
    <row r="86" spans="1:12" ht="15">
      <c r="A86" t="s">
        <v>82</v>
      </c>
      <c r="B86" s="2">
        <f>VLOOKUP($A86,'County Totals'!$A:$D,2,FALSE)</f>
        <v>272.4819999999999</v>
      </c>
      <c r="C86" s="2">
        <f>VLOOKUP($A86,'County Totals'!$A:$D,3,FALSE)</f>
        <v>2575</v>
      </c>
      <c r="D86" s="2">
        <f>VLOOKUP($A86,'County Totals'!$A:$D,4,FALSE)</f>
        <v>701638.0919999996</v>
      </c>
      <c r="E86" s="4">
        <v>9</v>
      </c>
      <c r="F86" s="4">
        <v>526</v>
      </c>
      <c r="G86" s="4">
        <v>1692</v>
      </c>
      <c r="H86" s="3">
        <f t="shared" si="4"/>
        <v>1.3213696608581982</v>
      </c>
      <c r="I86" s="3">
        <f>SUM(E86:F86)/SUM('County Totals'!E85:F85)</f>
        <v>0.4608096468561585</v>
      </c>
      <c r="J86">
        <f t="shared" si="3"/>
        <v>60</v>
      </c>
      <c r="K86" s="1"/>
      <c r="L86" s="1"/>
    </row>
    <row r="87" spans="1:12" ht="15">
      <c r="A87" t="s">
        <v>83</v>
      </c>
      <c r="B87" s="2">
        <f>VLOOKUP($A87,'County Totals'!$A:$D,2,FALSE)</f>
        <v>338.5459999999996</v>
      </c>
      <c r="C87" s="2">
        <f>VLOOKUP($A87,'County Totals'!$A:$D,3,FALSE)</f>
        <v>419</v>
      </c>
      <c r="D87" s="2">
        <f>VLOOKUP($A87,'County Totals'!$A:$D,4,FALSE)</f>
        <v>141971.93900000007</v>
      </c>
      <c r="E87" s="4">
        <v>5</v>
      </c>
      <c r="F87" s="4">
        <v>187</v>
      </c>
      <c r="G87" s="4">
        <v>542</v>
      </c>
      <c r="H87" s="3">
        <f t="shared" si="4"/>
        <v>2.0918662058272153</v>
      </c>
      <c r="I87" s="3">
        <f>SUM(E87:F87)/SUM('County Totals'!E86:F86)</f>
        <v>0.8495575221238938</v>
      </c>
      <c r="J87">
        <f t="shared" si="3"/>
        <v>80</v>
      </c>
      <c r="K87" s="1"/>
      <c r="L87" s="1"/>
    </row>
    <row r="88" spans="1:12" ht="15">
      <c r="A88" t="s">
        <v>84</v>
      </c>
      <c r="B88" s="2">
        <f>VLOOKUP($A88,'County Totals'!$A:$D,2,FALSE)</f>
        <v>505.7419999999996</v>
      </c>
      <c r="C88" s="2">
        <f>VLOOKUP($A88,'County Totals'!$A:$D,3,FALSE)</f>
        <v>1107</v>
      </c>
      <c r="D88" s="2">
        <f>VLOOKUP($A88,'County Totals'!$A:$D,4,FALSE)</f>
        <v>560070.1170000003</v>
      </c>
      <c r="E88" s="4">
        <v>11</v>
      </c>
      <c r="F88" s="4">
        <v>550</v>
      </c>
      <c r="G88" s="4">
        <v>1451</v>
      </c>
      <c r="H88" s="3">
        <f t="shared" si="4"/>
        <v>1.4195874213204709</v>
      </c>
      <c r="I88" s="3">
        <f>SUM(E88:F88)/SUM('County Totals'!E87:F87)</f>
        <v>0.6455696202531646</v>
      </c>
      <c r="J88">
        <f t="shared" si="3"/>
        <v>65</v>
      </c>
      <c r="K88" s="1"/>
      <c r="L88" s="1"/>
    </row>
    <row r="89" spans="1:12" ht="15">
      <c r="A89" t="s">
        <v>85</v>
      </c>
      <c r="B89" s="2">
        <f>VLOOKUP($A89,'County Totals'!$A:$D,2,FALSE)</f>
        <v>399.6799999999999</v>
      </c>
      <c r="C89" s="2">
        <f>VLOOKUP($A89,'County Totals'!$A:$D,3,FALSE)</f>
        <v>421</v>
      </c>
      <c r="D89" s="2">
        <f>VLOOKUP($A89,'County Totals'!$A:$D,4,FALSE)</f>
        <v>168238.39099999995</v>
      </c>
      <c r="E89" s="4">
        <v>2</v>
      </c>
      <c r="F89" s="4">
        <v>127</v>
      </c>
      <c r="G89" s="4">
        <v>395</v>
      </c>
      <c r="H89" s="3">
        <f t="shared" si="4"/>
        <v>1.2864980155711525</v>
      </c>
      <c r="I89" s="3">
        <f>SUM(E89:F89)/SUM('County Totals'!E88:F88)</f>
        <v>0.6649484536082474</v>
      </c>
      <c r="J89">
        <f t="shared" si="3"/>
        <v>54</v>
      </c>
      <c r="K89" s="1"/>
      <c r="L89" s="1"/>
    </row>
    <row r="90" spans="1:12" ht="15">
      <c r="A90" t="s">
        <v>86</v>
      </c>
      <c r="B90" s="2">
        <f>VLOOKUP($A90,'County Totals'!$A:$D,2,FALSE)</f>
        <v>242.92900000000003</v>
      </c>
      <c r="C90" s="2">
        <f>VLOOKUP($A90,'County Totals'!$A:$D,3,FALSE)</f>
        <v>1086</v>
      </c>
      <c r="D90" s="2">
        <f>VLOOKUP($A90,'County Totals'!$A:$D,4,FALSE)</f>
        <v>263717.71499999997</v>
      </c>
      <c r="E90" s="4">
        <v>6</v>
      </c>
      <c r="F90" s="4">
        <v>147</v>
      </c>
      <c r="G90" s="4">
        <v>429</v>
      </c>
      <c r="H90" s="3">
        <f t="shared" si="4"/>
        <v>0.89136406005446</v>
      </c>
      <c r="I90" s="3">
        <f>SUM(E90:F90)/SUM('County Totals'!E89:F89)</f>
        <v>0.498371335504886</v>
      </c>
      <c r="J90">
        <f t="shared" si="3"/>
        <v>29</v>
      </c>
      <c r="K90" s="1"/>
      <c r="L90" s="1"/>
    </row>
    <row r="91" spans="1:12" ht="15">
      <c r="A91" t="s">
        <v>87</v>
      </c>
      <c r="B91" s="2">
        <f>VLOOKUP($A91,'County Totals'!$A:$D,2,FALSE)</f>
        <v>322.621</v>
      </c>
      <c r="C91" s="2">
        <f>VLOOKUP($A91,'County Totals'!$A:$D,3,FALSE)</f>
        <v>347</v>
      </c>
      <c r="D91" s="2">
        <f>VLOOKUP($A91,'County Totals'!$A:$D,4,FALSE)</f>
        <v>112013.70999999998</v>
      </c>
      <c r="E91" s="4">
        <v>0</v>
      </c>
      <c r="F91" s="4">
        <v>50</v>
      </c>
      <c r="G91" s="4">
        <v>127</v>
      </c>
      <c r="H91" s="3">
        <f t="shared" si="4"/>
        <v>0.621254675841827</v>
      </c>
      <c r="I91" s="3">
        <f>SUM(E91:F91)/SUM('County Totals'!E90:F90)</f>
        <v>0.6578947368421053</v>
      </c>
      <c r="J91">
        <f t="shared" si="3"/>
        <v>6</v>
      </c>
      <c r="K91" s="1"/>
      <c r="L91" s="1"/>
    </row>
  </sheetData>
  <sheetProtection/>
  <autoFilter ref="A3:D91"/>
  <mergeCells count="2">
    <mergeCell ref="E1:J1"/>
    <mergeCell ref="E2:J2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2" width="12.57421875" style="0" bestFit="1" customWidth="1"/>
    <col min="3" max="3" width="6.57421875" style="0" bestFit="1" customWidth="1"/>
    <col min="6" max="6" width="9.140625" style="0" hidden="1" customWidth="1"/>
  </cols>
  <sheetData>
    <row r="1" spans="1:6" ht="15.75" thickBot="1">
      <c r="A1" s="152" t="s">
        <v>111</v>
      </c>
      <c r="B1" s="153"/>
      <c r="C1" s="154"/>
      <c r="F1" s="16"/>
    </row>
    <row r="2" spans="1:6" ht="15">
      <c r="A2" s="150" t="s">
        <v>112</v>
      </c>
      <c r="B2" s="151"/>
      <c r="C2" s="30" t="s">
        <v>103</v>
      </c>
      <c r="F2" t="s">
        <v>152</v>
      </c>
    </row>
    <row r="3" spans="1:6" ht="15">
      <c r="A3" s="27">
        <v>0</v>
      </c>
      <c r="B3" s="25">
        <v>100000</v>
      </c>
      <c r="C3" s="26">
        <v>6</v>
      </c>
      <c r="F3" t="s">
        <v>151</v>
      </c>
    </row>
    <row r="4" spans="1:3" ht="15">
      <c r="A4" s="27">
        <v>100000</v>
      </c>
      <c r="B4" s="25">
        <v>200000</v>
      </c>
      <c r="C4" s="26">
        <v>3</v>
      </c>
    </row>
    <row r="5" spans="1:3" ht="15.75" thickBot="1">
      <c r="A5" s="28">
        <v>200000</v>
      </c>
      <c r="B5" s="29">
        <v>300000</v>
      </c>
      <c r="C5" s="31">
        <v>0</v>
      </c>
    </row>
    <row r="6" ht="15.75" thickBot="1"/>
    <row r="7" spans="1:3" ht="15.75" thickBot="1">
      <c r="A7" s="152" t="s">
        <v>130</v>
      </c>
      <c r="B7" s="153"/>
      <c r="C7" s="154"/>
    </row>
    <row r="8" spans="1:3" ht="15">
      <c r="A8" s="150" t="s">
        <v>112</v>
      </c>
      <c r="B8" s="151"/>
      <c r="C8" s="30" t="s">
        <v>103</v>
      </c>
    </row>
    <row r="9" spans="1:3" ht="15">
      <c r="A9" s="27">
        <v>0</v>
      </c>
      <c r="B9" s="25">
        <v>50000</v>
      </c>
      <c r="C9" s="26">
        <v>6</v>
      </c>
    </row>
    <row r="10" spans="1:3" ht="15">
      <c r="A10" s="27">
        <v>50000</v>
      </c>
      <c r="B10" s="25">
        <v>100000</v>
      </c>
      <c r="C10" s="26">
        <v>3</v>
      </c>
    </row>
    <row r="11" spans="1:3" ht="15.75" thickBot="1">
      <c r="A11" s="28">
        <v>100000</v>
      </c>
      <c r="B11" s="29">
        <v>150000</v>
      </c>
      <c r="C11" s="31">
        <v>0</v>
      </c>
    </row>
    <row r="12" ht="15.75" thickBot="1"/>
    <row r="13" spans="1:3" ht="15.75" thickBot="1">
      <c r="A13" s="152" t="s">
        <v>150</v>
      </c>
      <c r="B13" s="153"/>
      <c r="C13" s="154"/>
    </row>
    <row r="14" spans="1:3" ht="15">
      <c r="A14" s="150" t="s">
        <v>112</v>
      </c>
      <c r="B14" s="151"/>
      <c r="C14" s="30" t="s">
        <v>103</v>
      </c>
    </row>
    <row r="15" spans="1:3" ht="15">
      <c r="A15" s="27">
        <v>0</v>
      </c>
      <c r="B15" s="25">
        <v>25000</v>
      </c>
      <c r="C15" s="26">
        <v>6</v>
      </c>
    </row>
    <row r="16" spans="1:3" ht="15">
      <c r="A16" s="27">
        <v>25000</v>
      </c>
      <c r="B16" s="25">
        <v>50000</v>
      </c>
      <c r="C16" s="26">
        <v>3</v>
      </c>
    </row>
    <row r="17" spans="1:3" ht="15.75" thickBot="1">
      <c r="A17" s="28">
        <v>50000</v>
      </c>
      <c r="B17" s="29">
        <v>75000</v>
      </c>
      <c r="C17" s="31">
        <v>0</v>
      </c>
    </row>
  </sheetData>
  <sheetProtection/>
  <mergeCells count="6">
    <mergeCell ref="A14:B14"/>
    <mergeCell ref="A1:C1"/>
    <mergeCell ref="A2:B2"/>
    <mergeCell ref="A7:C7"/>
    <mergeCell ref="A8:B8"/>
    <mergeCell ref="A13:C1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jhughes3@dot.state.oh.us</Manager>
  <Company>Ohio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CEAO HSIP Application</dc:title>
  <dc:subject/>
  <dc:creator>Derek Troyer</dc:creator>
  <cp:keywords/>
  <dc:description/>
  <cp:lastModifiedBy>MRisko</cp:lastModifiedBy>
  <cp:lastPrinted>2014-06-16T17:51:57Z</cp:lastPrinted>
  <dcterms:created xsi:type="dcterms:W3CDTF">2010-12-28T15:18:36Z</dcterms:created>
  <dcterms:modified xsi:type="dcterms:W3CDTF">2019-08-05T18:42:14Z</dcterms:modified>
  <cp:category/>
  <cp:version/>
  <cp:contentType/>
  <cp:contentStatus/>
</cp:coreProperties>
</file>